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50" windowWidth="15480" windowHeight="2865" tabRatio="886" activeTab="0"/>
  </bookViews>
  <sheets>
    <sheet name="Cover" sheetId="1" r:id="rId1"/>
    <sheet name="Introduction" sheetId="2" r:id="rId2"/>
    <sheet name="Table of Contents" sheetId="3" r:id="rId3"/>
    <sheet name="Operations in Inventory" sheetId="4" r:id="rId4"/>
    <sheet name="Direct - Fuel Combust." sheetId="5" r:id="rId5"/>
    <sheet name="Direct-CH4 &amp; N2O" sheetId="6" r:id="rId6"/>
    <sheet name="Direct-SO2" sheetId="7" r:id="rId7"/>
    <sheet name="Direct- Mobile &amp; Transportation" sheetId="8" r:id="rId8"/>
    <sheet name="Direct - Waste Mngmt." sheetId="9" r:id="rId9"/>
    <sheet name="Direct - Make-up Carbonates" sheetId="10" r:id="rId10"/>
    <sheet name="Direct - Energy Exports" sheetId="11" r:id="rId11"/>
    <sheet name="CHP Allocation" sheetId="12" r:id="rId12"/>
    <sheet name="Indirect - Energy Imports" sheetId="13" r:id="rId13"/>
    <sheet name="CO2 Imports and Exports" sheetId="14" r:id="rId14"/>
    <sheet name="Supporting Info. on Biomass" sheetId="15" r:id="rId15"/>
    <sheet name="Summary Table" sheetId="16" r:id="rId16"/>
    <sheet name="Custom Emission Factors" sheetId="17" r:id="rId17"/>
    <sheet name="Energy Content" sheetId="18" r:id="rId18"/>
    <sheet name="Conversion Factors" sheetId="19" r:id="rId19"/>
  </sheets>
  <externalReferences>
    <externalReference r:id="rId22"/>
  </externalReferences>
  <definedNames>
    <definedName name="_ftn1" localSheetId="6">'Direct-SO2'!$D$57</definedName>
    <definedName name="_ftnref1" localSheetId="6">'Direct-SO2'!#REF!</definedName>
    <definedName name="_xlnm.Print_Area" localSheetId="11">'CHP Allocation'!$B$14:$R$29</definedName>
    <definedName name="_xlnm.Print_Area" localSheetId="13">'CO2 Imports and Exports'!$B$2:$H$22</definedName>
    <definedName name="_xlnm.Print_Area" localSheetId="10">'Direct - Energy Exports'!$B$13:$K$36</definedName>
    <definedName name="_xlnm.Print_Area" localSheetId="4">'Direct - Fuel Combust.'!$C$45:$S$81</definedName>
    <definedName name="_xlnm.Print_Area" localSheetId="9">'Direct - Make-up Carbonates'!$B$6:$G$13</definedName>
    <definedName name="_xlnm.Print_Area" localSheetId="8">'Direct - Waste Mngmt.'!#REF!,'Direct - Waste Mngmt.'!#REF!,'Direct - Waste Mngmt.'!$B$15:$L$51</definedName>
    <definedName name="_xlnm.Print_Area" localSheetId="7">'Direct- Mobile &amp; Transportation'!$B$15:$N$52,'Direct- Mobile &amp; Transportation'!$B$55:$L$110,'Direct- Mobile &amp; Transportation'!$B$113:$M$147</definedName>
    <definedName name="_xlnm.Print_Area" localSheetId="6">'Direct-SO2'!$A$6:$K$34</definedName>
    <definedName name="_xlnm.Print_Area" localSheetId="17">'Energy Content'!$A$2:$E$41</definedName>
    <definedName name="_xlnm.Print_Area" localSheetId="12">'Indirect - Energy Imports'!$B$11:$H$34</definedName>
    <definedName name="_xlnm.Print_Area" localSheetId="1">'Introduction'!$B$1:$J$21</definedName>
    <definedName name="_xlnm.Print_Area" localSheetId="3">'Operations in Inventory'!$B$5:$J$56</definedName>
    <definedName name="_xlnm.Print_Area" localSheetId="15">'Summary Table'!$B$4:$G$29</definedName>
    <definedName name="_xlnm.Print_Area" localSheetId="14">'Supporting Info. on Biomass'!$B$3:$G$10,'Supporting Info. on Biomass'!$B$21:$N$42,'Supporting Info. on Biomass'!$B$49:$L$70</definedName>
    <definedName name="_xlnm.Print_Area" localSheetId="2">'Table of Contents'!$B$2:$H$23</definedName>
    <definedName name="CO2perGJ_jet">#REF!</definedName>
    <definedName name="D1_Air">#REF!</definedName>
    <definedName name="D1_Air_total">#REF!</definedName>
    <definedName name="D1_Boat">#REF!</definedName>
    <definedName name="D1_Boat_total">#REF!</definedName>
    <definedName name="D1_Rail">#REF!</definedName>
    <definedName name="D1_Rail_total">#REF!</definedName>
    <definedName name="D1_Road">#REF!</definedName>
    <definedName name="D1_Road_total">#REF!</definedName>
    <definedName name="DirectPart1">#REF!</definedName>
    <definedName name="get_dieselgperkm">'[1]Reference'!$E$196:$J$259</definedName>
    <definedName name="get_gasgperkm">'[1]Reference'!$E$196:$I$259</definedName>
    <definedName name="Gjperton_jet">#REF!</definedName>
    <definedName name="Go_D2_Air">'[1]Macros'!#REF!</definedName>
    <definedName name="Go_D2_Road">'[1]Macros'!#REF!</definedName>
    <definedName name="Go_In1_air">'[1]Macros'!#REF!</definedName>
    <definedName name="Go_In1_boat">'[1]Macros'!#REF!</definedName>
    <definedName name="Go_In1_Fuel">'[1]Macros'!#REF!</definedName>
    <definedName name="Go_In1_rail">'[1]Macros'!#REF!</definedName>
    <definedName name="Go_Somewhere">'[1]Macros'!#REF!</definedName>
    <definedName name="In2_Air">#REF!</definedName>
    <definedName name="In2_Air_total">#REF!</definedName>
    <definedName name="In2_Boat">#REF!</definedName>
    <definedName name="In2_Boat_total">#REF!</definedName>
    <definedName name="In2_Rail">#REF!</definedName>
    <definedName name="In2_Rail_total">#REF!</definedName>
    <definedName name="IN2_Road_total">#REF!</definedName>
    <definedName name="kmper_nm">#REF!</definedName>
    <definedName name="line_type">#REF!</definedName>
  </definedNames>
  <calcPr fullCalcOnLoad="1"/>
</workbook>
</file>

<file path=xl/comments13.xml><?xml version="1.0" encoding="utf-8"?>
<comments xmlns="http://schemas.openxmlformats.org/spreadsheetml/2006/main">
  <authors>
    <author>CesarR</author>
  </authors>
  <commentList>
    <comment ref="H70" authorId="0">
      <text>
        <r>
          <rPr>
            <sz val="8"/>
            <rFont val="Tahoma"/>
            <family val="0"/>
          </rPr>
          <t>Last year on which ATPAE confirmed values of Electrical Emission Factors</t>
        </r>
      </text>
    </comment>
  </commentList>
</comments>
</file>

<file path=xl/comments17.xml><?xml version="1.0" encoding="utf-8"?>
<comments xmlns="http://schemas.openxmlformats.org/spreadsheetml/2006/main">
  <authors>
    <author>System Administrator</author>
  </authors>
  <commentList>
    <comment ref="F16" authorId="0">
      <text>
        <r>
          <rPr>
            <b/>
            <sz val="8"/>
            <rFont val="Tahoma"/>
            <family val="0"/>
          </rPr>
          <t>3.664 = Conversion factor betwen C and CO</t>
        </r>
        <r>
          <rPr>
            <b/>
            <vertAlign val="subscript"/>
            <sz val="8"/>
            <rFont val="Tahoma"/>
            <family val="2"/>
          </rPr>
          <t xml:space="preserve">2 </t>
        </r>
      </text>
    </comment>
  </commentList>
</comments>
</file>

<file path=xl/comments5.xml><?xml version="1.0" encoding="utf-8"?>
<comments xmlns="http://schemas.openxmlformats.org/spreadsheetml/2006/main">
  <authors>
    <author>Usuario Autorizado de HP</author>
  </authors>
  <commentList>
    <comment ref="C22" authorId="0">
      <text>
        <r>
          <rPr>
            <b/>
            <sz val="10"/>
            <rFont val="Tahoma"/>
            <family val="0"/>
          </rPr>
          <t>Usuario Autorizado de HP:</t>
        </r>
        <r>
          <rPr>
            <sz val="10"/>
            <rFont val="Tahoma"/>
            <family val="0"/>
          </rPr>
          <t xml:space="preserve">
Planta Uno</t>
        </r>
      </text>
    </comment>
  </commentList>
</comments>
</file>

<file path=xl/comments7.xml><?xml version="1.0" encoding="utf-8"?>
<comments xmlns="http://schemas.openxmlformats.org/spreadsheetml/2006/main">
  <authors>
    <author>Helios Escudero</author>
    <author>Usuario Autorizado de HP</author>
  </authors>
  <commentList>
    <comment ref="J16" authorId="0">
      <text>
        <r>
          <rPr>
            <sz val="8"/>
            <rFont val="Tahoma"/>
            <family val="0"/>
          </rPr>
          <t>The  user can use the EF suggested in the guidance who accompanies this document. In case that the fuel is not within the suggested table, the EF can be calculated through this  equation</t>
        </r>
      </text>
    </comment>
    <comment ref="J44" authorId="1">
      <text>
        <r>
          <rPr>
            <sz val="10"/>
            <rFont val="Tahoma"/>
            <family val="0"/>
          </rPr>
          <t xml:space="preserve">Associated Natural Gas is measured at the exit of separation batteries, estándar at 20°C and 100 kPa. Natural gas at the exit of the well has a heat value of 45,225 KJ/m3
</t>
        </r>
      </text>
    </comment>
    <comment ref="J45" authorId="1">
      <text>
        <r>
          <rPr>
            <sz val="10"/>
            <rFont val="Tahoma"/>
            <family val="0"/>
          </rPr>
          <t xml:space="preserve">Non associated natural gas is measured under standar conditions, heat value at the well head is 38,073 kJ/m3.
</t>
        </r>
      </text>
    </comment>
    <comment ref="J46" authorId="1">
      <text>
        <r>
          <rPr>
            <sz val="10"/>
            <rFont val="Tahoma"/>
            <family val="0"/>
          </rPr>
          <t xml:space="preserve">In the case of heat value for thermal coal at power stations is considered a misture of national with imported of 19,915 MJ/t for 2001 and 21,685 MJ/t for 2002.
</t>
        </r>
      </text>
    </comment>
    <comment ref="J64" authorId="1">
      <text>
        <r>
          <rPr>
            <sz val="10"/>
            <rFont val="Tahoma"/>
            <family val="0"/>
          </rPr>
          <t xml:space="preserve">Corresponds to volumes measured at 20°C and 100 kPa of pressure, the value of residual fractured gas is 35,420 kJ/m3
</t>
        </r>
      </text>
    </comment>
    <comment ref="J75" authorId="1">
      <text>
        <r>
          <rPr>
            <sz val="10"/>
            <rFont val="Tahoma"/>
            <family val="0"/>
          </rPr>
          <t xml:space="preserve">Air dried wood with 25.0 percent humidity
</t>
        </r>
      </text>
    </comment>
  </commentList>
</comments>
</file>

<file path=xl/comments8.xml><?xml version="1.0" encoding="utf-8"?>
<comments xmlns="http://schemas.openxmlformats.org/spreadsheetml/2006/main">
  <authors>
    <author>System Administrator</author>
    <author>RPM Systems, Inc.</author>
    <author>A satisfied Microsoft Office user</author>
  </authors>
  <commentList>
    <comment ref="W30" authorId="0">
      <text>
        <r>
          <rPr>
            <b/>
            <sz val="8"/>
            <rFont val="Tahoma"/>
            <family val="0"/>
          </rPr>
          <t>From American Petroleum Institute, 2001</t>
        </r>
      </text>
    </comment>
    <comment ref="AA34" authorId="1">
      <text>
        <r>
          <rPr>
            <b/>
            <sz val="8"/>
            <rFont val="Tahoma"/>
            <family val="0"/>
          </rPr>
          <t xml:space="preserve">Retec: From IPCC quoted by UNEP p. 44.
</t>
        </r>
        <r>
          <rPr>
            <sz val="8"/>
            <rFont val="Tahoma"/>
            <family val="0"/>
          </rPr>
          <t xml:space="preserve">
</t>
        </r>
      </text>
    </comment>
    <comment ref="W35" authorId="1">
      <text>
        <r>
          <rPr>
            <b/>
            <sz val="8"/>
            <rFont val="Tahoma"/>
            <family val="0"/>
          </rPr>
          <t xml:space="preserve">Retec:  Inferred from gasoline
</t>
        </r>
        <r>
          <rPr>
            <sz val="8"/>
            <rFont val="Tahoma"/>
            <family val="0"/>
          </rPr>
          <t xml:space="preserve">
</t>
        </r>
      </text>
    </comment>
    <comment ref="Z35" authorId="1">
      <text>
        <r>
          <rPr>
            <b/>
            <sz val="8"/>
            <rFont val="Tahoma"/>
            <family val="0"/>
          </rPr>
          <t>Retec:  Inferred from gasoline</t>
        </r>
        <r>
          <rPr>
            <sz val="8"/>
            <rFont val="Tahoma"/>
            <family val="0"/>
          </rPr>
          <t xml:space="preserve">
</t>
        </r>
      </text>
    </comment>
    <comment ref="AB36" authorId="1">
      <text>
        <r>
          <rPr>
            <b/>
            <sz val="8"/>
            <rFont val="Tahoma"/>
            <family val="0"/>
          </rPr>
          <t>Retec:  Inferred from IEA density relative to gasoline</t>
        </r>
      </text>
    </comment>
    <comment ref="AB40" authorId="1">
      <text>
        <r>
          <rPr>
            <b/>
            <sz val="8"/>
            <rFont val="Tahoma"/>
            <family val="0"/>
          </rPr>
          <t xml:space="preserve">Retec:  Inferred from IEA density relative to gasoline
</t>
        </r>
      </text>
    </comment>
    <comment ref="I65" authorId="2">
      <text>
        <r>
          <rPr>
            <sz val="8"/>
            <rFont val="Tahoma"/>
            <family val="0"/>
          </rPr>
          <t>Values in this column come from fuel efficiency values given in EPA table below, and  for emissions control types.</t>
        </r>
      </text>
    </comment>
    <comment ref="I66" authorId="2">
      <text>
        <r>
          <rPr>
            <sz val="8"/>
            <rFont val="Tahoma"/>
            <family val="0"/>
          </rPr>
          <t xml:space="preserve">Los valores de esta columna provienen  de observar la tabla de referencia, Values in this column come from look up table in refernce, similar formula, or values given by EPA for emissions control types.
</t>
        </r>
      </text>
    </comment>
    <comment ref="I69" authorId="1">
      <text>
        <r>
          <rPr>
            <b/>
            <sz val="8"/>
            <rFont val="Tahoma"/>
            <family val="0"/>
          </rPr>
          <t>Derived from EPA based on 178 g/km</t>
        </r>
        <r>
          <rPr>
            <sz val="8"/>
            <rFont val="Tahoma"/>
            <family val="0"/>
          </rPr>
          <t xml:space="preserve">
</t>
        </r>
      </text>
    </comment>
    <comment ref="I102" authorId="2">
      <text>
        <r>
          <rPr>
            <sz val="8"/>
            <rFont val="Tahoma"/>
            <family val="0"/>
          </rPr>
          <t>UNEP Guidelines, page 26, quoting DETR, 1999, assuming av capacity of 2500 tonnes</t>
        </r>
      </text>
    </comment>
    <comment ref="I104" authorId="2">
      <text>
        <r>
          <rPr>
            <sz val="8"/>
            <rFont val="Tahoma"/>
            <family val="0"/>
          </rPr>
          <t>UNEP Guidelines, page 26, quoting DETR, 1999, assuming av capacity of 51,500 tonnes</t>
        </r>
      </text>
    </comment>
    <comment ref="W65" authorId="2">
      <text>
        <r>
          <rPr>
            <sz val="8"/>
            <rFont val="Tahoma"/>
            <family val="0"/>
          </rPr>
          <t>See tables in Reference worksheet</t>
        </r>
      </text>
    </comment>
    <comment ref="X66" authorId="2">
      <text>
        <r>
          <rPr>
            <sz val="8"/>
            <rFont val="Tahoma"/>
            <family val="0"/>
          </rPr>
          <t xml:space="preserve">Values in yellow column through typical pick up trucks derived from mpg assuming 9.0167 kg CO2/gallon.
See "Converting from mpg…" on Reference page
</t>
        </r>
      </text>
    </comment>
    <comment ref="W70" authorId="2">
      <text>
        <r>
          <rPr>
            <sz val="8"/>
            <rFont val="Tahoma"/>
            <family val="0"/>
          </rPr>
          <t>RPM Systems, Inc.:
assume 20% more efficient.  Imported cars get on average 17% higher mpg 94-98, per EPA table</t>
        </r>
      </text>
    </comment>
    <comment ref="W72" authorId="2">
      <text>
        <r>
          <rPr>
            <sz val="8"/>
            <rFont val="Tahoma"/>
            <family val="0"/>
          </rPr>
          <t>EPA: 2001 Honda Insight automatic; manual gets 64 mpg (68hgwy, 61city)</t>
        </r>
      </text>
    </comment>
    <comment ref="W73" authorId="2">
      <text>
        <r>
          <rPr>
            <sz val="8"/>
            <rFont val="Tahoma"/>
            <family val="0"/>
          </rPr>
          <t xml:space="preserve">This row and those below in given in hwy/city pairs derived from median values on EPA 2001 model year listings
</t>
        </r>
      </text>
    </comment>
    <comment ref="W89" authorId="2">
      <text>
        <r>
          <rPr>
            <sz val="8"/>
            <rFont val="Tahoma"/>
            <family val="0"/>
          </rPr>
          <t xml:space="preserve">Values for remaining "typical" vehicles drawn from US EPA control-type data </t>
        </r>
      </text>
    </comment>
    <comment ref="X89" authorId="2">
      <text>
        <r>
          <rPr>
            <sz val="8"/>
            <rFont val="Tahoma"/>
            <family val="0"/>
          </rPr>
          <t>Values below this point in yellow column are taken or interpolated from EPA table on mpg and emissions for control types, table C10,  US EPA Inventory of US Ghg Emissions and Sinks, 1990-1998</t>
        </r>
      </text>
    </comment>
    <comment ref="X97" authorId="2">
      <text>
        <r>
          <rPr>
            <sz val="8"/>
            <rFont val="Tahoma"/>
            <family val="0"/>
          </rPr>
          <t xml:space="preserve">Calculated from mpg using method of lookup table on reference sheet
</t>
        </r>
      </text>
    </comment>
    <comment ref="E65" authorId="0">
      <text>
        <r>
          <rPr>
            <b/>
            <sz val="8"/>
            <rFont val="Tahoma"/>
            <family val="0"/>
          </rPr>
          <t>Miles per Gallon (MPG) values given here are based on EPA, USA(See below the worksheet titled 'miles per gallon for typical vehicles'). Please use local mpg (or kms per litre) values if available. You may use the optional table to the right to calculate emission factor based on local/custom vehicle efficiency values.</t>
        </r>
      </text>
    </comment>
    <comment ref="AB29" authorId="0">
      <text>
        <r>
          <rPr>
            <b/>
            <sz val="8"/>
            <rFont val="Tahoma"/>
            <family val="0"/>
          </rPr>
          <t>From American Petroleum Institute, (2001)</t>
        </r>
      </text>
    </comment>
  </commentList>
</comments>
</file>

<file path=xl/comments9.xml><?xml version="1.0" encoding="utf-8"?>
<comments xmlns="http://schemas.openxmlformats.org/spreadsheetml/2006/main">
  <authors>
    <author>CesarR</author>
  </authors>
  <commentList>
    <comment ref="L21" authorId="0">
      <text>
        <r>
          <rPr>
            <b/>
            <sz val="8"/>
            <rFont val="Tahoma"/>
            <family val="0"/>
          </rPr>
          <t>1.84 : CO2 Density</t>
        </r>
        <r>
          <rPr>
            <sz val="8"/>
            <rFont val="Tahoma"/>
            <family val="0"/>
          </rPr>
          <t xml:space="preserve">
</t>
        </r>
      </text>
    </comment>
  </commentList>
</comments>
</file>

<file path=xl/sharedStrings.xml><?xml version="1.0" encoding="utf-8"?>
<sst xmlns="http://schemas.openxmlformats.org/spreadsheetml/2006/main" count="1425" uniqueCount="940">
  <si>
    <t xml:space="preserve">Any increases or decreases in the amount of carbon sequestered by the forests are accounted for in the comprehensive forest accounting system.  This is the approach generally prescribed for national inventories by the United Nations Framework Convention on Climate Change.  Most international protocols including that of the Intergovernmental Panel on Climate Change (IPCC) have adopted the convention set out by the United Nations. The IPCC has stated that emissions from biomass do not add to atmospheric concentrations of carbon dioxide.  (See footnote 1) </t>
  </si>
  <si>
    <t xml:space="preserve">Estimated Biomass Emissions:
The information reported below on biomass emissions is being supplied:
 To ensure that readers understand the entity’s overall energy profile in terms of both greenhouse gas emissions, and non-greenhouse gas emissions, and
 To provide awareness and understanding of how climate-neutral biomass fuels are generated and used in the manufacture of pulp and paper.
Also, note that the information reported below is in conformance with the general greenhouse gas protocol designed by the World Resources Institute and the World Business Council for Sustainable Development.  Users of these calculation tools may elect to modify the format and type of information presented based on specific facility or company needs.
</t>
  </si>
  <si>
    <t>Footnote 1.
Intergovernmental Panel on Climate Change (IPCC). Revised 1996 IPCC Guidelines for National Greenhouse Gas Inventories: Reporting Instructions (Volume 1). IPCC National Greenhouse Gas Inventory Program.  http://www.ipcc-nggip.iges.or.jp/public/gl/invs4.htm  (26 Nov. 2001)
Intergovernmental Panel on Climate Change (IPCC). Revised 1996 IPCC Guidelines for National Greenhouse Gas Inventories: Reference Manual (Volume 3). IPCC National Greenhouse Gas Inventory Program.  http://www.ipcc-nggip.iges.or.jp/public/gl/invs6.htm  (20 Nov. 2001)</t>
  </si>
  <si>
    <t>Data and parameter values</t>
  </si>
  <si>
    <t>Part I. Supporting Information on Biomass Carbon Emissions from Combustion of Wood or Bark</t>
  </si>
  <si>
    <t>Heating Value in GJ/kg unless stated otherwise</t>
  </si>
  <si>
    <t>Unit used to measure quantitiy of fuel use
[Note: Be careful not to mix HHVs and LHVs.]</t>
  </si>
  <si>
    <r>
      <t>CO</t>
    </r>
    <r>
      <rPr>
        <vertAlign val="subscript"/>
        <sz val="10"/>
        <rFont val="Arial"/>
        <family val="0"/>
      </rPr>
      <t>2</t>
    </r>
    <r>
      <rPr>
        <sz val="10"/>
        <rFont val="Arial"/>
        <family val="0"/>
      </rPr>
      <t xml:space="preserve"> emission factor:
[default value is:
solid biomass:  109*
kg CO</t>
    </r>
    <r>
      <rPr>
        <vertAlign val="subscript"/>
        <sz val="10"/>
        <rFont val="Arial"/>
        <family val="0"/>
      </rPr>
      <t>2</t>
    </r>
    <r>
      <rPr>
        <sz val="10"/>
        <rFont val="Arial"/>
        <family val="0"/>
      </rPr>
      <t>/GJ LHV]</t>
    </r>
  </si>
  <si>
    <r>
      <t>Unit of CO</t>
    </r>
    <r>
      <rPr>
        <vertAlign val="subscript"/>
        <sz val="10"/>
        <rFont val="Arial"/>
        <family val="2"/>
      </rPr>
      <t>2</t>
    </r>
    <r>
      <rPr>
        <sz val="10"/>
        <rFont val="Arial"/>
        <family val="0"/>
      </rPr>
      <t xml:space="preserve"> emission factor</t>
    </r>
  </si>
  <si>
    <r>
      <t>CO</t>
    </r>
    <r>
      <rPr>
        <vertAlign val="subscript"/>
        <sz val="10"/>
        <rFont val="Arial"/>
        <family val="0"/>
      </rPr>
      <t>2</t>
    </r>
    <r>
      <rPr>
        <sz val="10"/>
        <rFont val="Arial"/>
        <family val="0"/>
      </rPr>
      <t xml:space="preserve"> emissions in metric tons Carbon/yr</t>
    </r>
  </si>
  <si>
    <t>Example: Bark Boiler</t>
  </si>
  <si>
    <t>Bark</t>
  </si>
  <si>
    <t>Biomass Carbon Released as climate-neutral CO2 from Combustion of Wood or Bark</t>
  </si>
  <si>
    <t>Amount of climate-neutral biomass-derived CO2 included in above number that is exported (e.g. to PCC plant) rather than being emitted - Optional information</t>
  </si>
  <si>
    <t>Metric Ton Carbon /year</t>
  </si>
  <si>
    <t>* Emission factor for solid biomass from Intergovernmental Panel on Climate Change (IPCC). 1997. Revised 1996 IPCC Guidelines for National Greenhouse Gas Inventories: Reference Manual (Volume 3). Table 1.1, corrected for 1% unburned carbon per USEPA  AP-42 Emission Factors for Wood Residue Combustion in Boilers – Supplement G, July 2001.  United States Environmental Protection Agency. Washington, D.C.</t>
  </si>
  <si>
    <t>Based on LHV - normally LHV assumed to be 95% of HHV for biomass fuels</t>
  </si>
  <si>
    <t>Part II. Supporting Information on Biomass Carbon Emissions from Combustion of Spent Pulping Liquors</t>
  </si>
  <si>
    <t>Suggested Default Emission Factors*
(corrected for unoxidized carbon unless noted otherwise)</t>
  </si>
  <si>
    <t>*Suggest default emission factor includes a 2% correction (coal), 1% correction (petroleum products), or 0.5% correction (natural gas) for unoxidized carbon</t>
  </si>
  <si>
    <r>
      <t>Note that because the emission factors for spent pulping liquors are based on the carbon content of the liquors (assuming a one-percent correction for unoxidized carbon), the liquor emission factor will include any carbon exiting with smelt from a recovery furnace.  Therefore, for kraft mills, the liquor emission factors estimate biomass carbon emissions from both the recovery furnace and from the lime kiln.
Companies have the option of estimating the amounts of climate-neutral biomass-derived CO</t>
    </r>
    <r>
      <rPr>
        <vertAlign val="subscript"/>
        <sz val="10"/>
        <rFont val="Arial"/>
        <family val="2"/>
      </rPr>
      <t>2</t>
    </r>
    <r>
      <rPr>
        <sz val="10"/>
        <rFont val="Arial"/>
        <family val="0"/>
      </rPr>
      <t xml:space="preserve"> that is exported rather than being returned to the atmosphere.  If the exports are from a lime kiln or calciner where fossil fuels are being used, as a general approximation the exports of climate-neutral biomass-derived CO2 will be twice the exports of fossil fuel-derived CO</t>
    </r>
    <r>
      <rPr>
        <vertAlign val="subscript"/>
        <sz val="10"/>
        <rFont val="Arial"/>
        <family val="2"/>
      </rPr>
      <t>2</t>
    </r>
    <r>
      <rPr>
        <sz val="10"/>
        <rFont val="Arial"/>
        <family val="0"/>
      </rPr>
      <t xml:space="preserve"> (see "CO</t>
    </r>
    <r>
      <rPr>
        <vertAlign val="subscript"/>
        <sz val="10"/>
        <rFont val="Arial"/>
        <family val="2"/>
      </rPr>
      <t>2</t>
    </r>
    <r>
      <rPr>
        <sz val="10"/>
        <rFont val="Arial"/>
        <family val="0"/>
      </rPr>
      <t xml:space="preserve"> Imports and Exports" worksheet).  Where exports consist of gases from a lime kiln or calciner that is burning only biomass fuels, all of the exports are carbon-neutral biomass-derived CO</t>
    </r>
    <r>
      <rPr>
        <vertAlign val="subscript"/>
        <sz val="10"/>
        <rFont val="Arial"/>
        <family val="2"/>
      </rPr>
      <t>2</t>
    </r>
    <r>
      <rPr>
        <sz val="10"/>
        <rFont val="Arial"/>
        <family val="0"/>
      </rPr>
      <t>.</t>
    </r>
  </si>
  <si>
    <t>Example: Recovery Furnace</t>
  </si>
  <si>
    <t>Kraft Pulping Liquor</t>
  </si>
  <si>
    <t>Heating Value of Fuel (GJ/Ton)</t>
  </si>
  <si>
    <t>Biomass Carbon in Pulping Liquors Released as climate-neutral CO2 from the recovery furnace and lime kiln or calciner</t>
  </si>
  <si>
    <t xml:space="preserve"> All listed emission factors are based on LHV - LHV assumed to be 95% of HHV for biomass fuels</t>
  </si>
  <si>
    <t>Suggested pulping liquor default emission factors</t>
  </si>
  <si>
    <t>Type of Pulping Liquor</t>
  </si>
  <si>
    <t>Wood Furnish</t>
  </si>
  <si>
    <t>Typical Carbon Content
[percent, dry basis]</t>
  </si>
  <si>
    <t>Typical Energy Content - HHV
[GJ HHV / metric ton dry solids]</t>
  </si>
  <si>
    <t>Calculated Energy Content - LHV
[GJ LHV / metric ton dry solids]</t>
  </si>
  <si>
    <t>Kraft black liquor*</t>
  </si>
  <si>
    <t>Scandinavian Softwood</t>
  </si>
  <si>
    <t>Scandinavian Hardwood</t>
  </si>
  <si>
    <t>North American Softwood</t>
  </si>
  <si>
    <t>North American Hardwood</t>
  </si>
  <si>
    <t>Tropical Eucalyptus</t>
  </si>
  <si>
    <t>Tropical Mixed Woods</t>
  </si>
  <si>
    <t>Bagasse</t>
  </si>
  <si>
    <t>Bamboo</t>
  </si>
  <si>
    <t>Straw</t>
  </si>
  <si>
    <t>These spreadsheets was adapted by FUMEC from the original version in the Revised 1996 IPCC Guidelines for National Greenhouse Gas Inventories: Reference Manual</t>
  </si>
  <si>
    <t xml:space="preserve">Note: Use only one method for every source </t>
  </si>
  <si>
    <r>
      <t>Kg. CO</t>
    </r>
    <r>
      <rPr>
        <vertAlign val="subscript"/>
        <sz val="10"/>
        <rFont val="Arial"/>
        <family val="2"/>
      </rPr>
      <t>2</t>
    </r>
    <r>
      <rPr>
        <sz val="10"/>
        <rFont val="Arial"/>
        <family val="0"/>
      </rPr>
      <t xml:space="preserve"> / GJ PCI</t>
    </r>
  </si>
  <si>
    <t>Fundación  México Estados Unidos para la Ciencia (FUMEC) www.fumec.org.mx  general@fumec.org.mx</t>
  </si>
  <si>
    <t>These spreadsheets include significant amounts of material copied from other WRI and WBCSD calculation tools. 
 Intellectual property rights of the WRI and WBCSD calculation tools belong to WRI and WBCSD, unless stated otherwise.</t>
  </si>
  <si>
    <t>This tool was tested on companies dedicated to produce pulp &amp; paper in Mexico and reviewed by a group of experts.  FUMEC and WRI are greatful to those who dedicated their time to review and share their view point on this tool.  Users of this tool are invited to send in their comments to one of the addresses listed below:</t>
  </si>
  <si>
    <t>Name of worksheet</t>
  </si>
  <si>
    <t>Table of Contents</t>
  </si>
  <si>
    <t>Content / purpose</t>
  </si>
  <si>
    <t>Introduction</t>
  </si>
  <si>
    <t>Operations in Inventory</t>
  </si>
  <si>
    <r>
      <t>Directs - CH</t>
    </r>
    <r>
      <rPr>
        <b/>
        <vertAlign val="subscript"/>
        <sz val="14"/>
        <rFont val="Arial"/>
        <family val="2"/>
      </rPr>
      <t>4</t>
    </r>
    <r>
      <rPr>
        <b/>
        <sz val="14"/>
        <rFont val="Arial"/>
        <family val="2"/>
      </rPr>
      <t xml:space="preserve"> y N</t>
    </r>
    <r>
      <rPr>
        <b/>
        <vertAlign val="subscript"/>
        <sz val="14"/>
        <rFont val="Arial"/>
        <family val="2"/>
      </rPr>
      <t>2</t>
    </r>
    <r>
      <rPr>
        <b/>
        <sz val="14"/>
        <rFont val="Arial"/>
        <family val="2"/>
      </rPr>
      <t xml:space="preserve">O </t>
    </r>
  </si>
  <si>
    <t>Direct - Mobile &amp; Transportation</t>
  </si>
  <si>
    <t>Direct - Make-up Carbonates</t>
  </si>
  <si>
    <t>CHP Allocation</t>
  </si>
  <si>
    <t>Indirect - Energy Imports</t>
  </si>
  <si>
    <t>Summary Table</t>
  </si>
  <si>
    <t>Custom Emission Factors</t>
  </si>
  <si>
    <t>Energy Content (LHV and HHV)</t>
  </si>
  <si>
    <t>Conversion Factors</t>
  </si>
  <si>
    <t>Supporting Info. on Biomass</t>
  </si>
  <si>
    <t>Describing the inventory boundaries and listing the operations included in the inventory</t>
  </si>
  <si>
    <t>Allocation emissions from combined heat and power systems</t>
  </si>
  <si>
    <t>GHG emissions resulting from electricity and /or steam imports</t>
  </si>
  <si>
    <t>Factors for converting among common units of measure</t>
  </si>
  <si>
    <t>Fuel specific lower and higher heating values</t>
  </si>
  <si>
    <t>Calculating custom emission factors</t>
  </si>
  <si>
    <t>Summarizes results of inventory</t>
  </si>
  <si>
    <t>GHG emission impacts associated with electricity and /or steam exports</t>
  </si>
  <si>
    <t>This worksheet is for showing which operations are included in the inventory and their ownership</t>
  </si>
  <si>
    <t xml:space="preserve">User enters information in spaces with this color  </t>
  </si>
  <si>
    <t>Operations in the Inventory</t>
  </si>
  <si>
    <t>Identifying name assigned to this inventory:</t>
  </si>
  <si>
    <t>Use this space to provide additional information helpful to understanding how emissions from partial ownership situations are allocated.</t>
  </si>
  <si>
    <t>Place an "X" below where appropriate to indentify operations included in the inventory and their ownership</t>
  </si>
  <si>
    <t>Core Operations that might be included in the inventory are listed below</t>
  </si>
  <si>
    <t>Completely Owned by Company</t>
  </si>
  <si>
    <t>Partly Owned by  Company</t>
  </si>
  <si>
    <t>Owned by other entity</t>
  </si>
  <si>
    <t>Harvesting</t>
  </si>
  <si>
    <t>Wood/chip/bark/wastepaper/other raw material transportation vehicles</t>
  </si>
  <si>
    <t>Product, by-product or waste transportation vehicles</t>
  </si>
  <si>
    <t>Debarking</t>
  </si>
  <si>
    <t>Chipping</t>
  </si>
  <si>
    <t>Mechanical pulping</t>
  </si>
  <si>
    <t>Chemical pulping – kraft</t>
  </si>
  <si>
    <t>Chemical pulping – sulfite</t>
  </si>
  <si>
    <t>Chemical pulping – other</t>
  </si>
  <si>
    <t xml:space="preserve">Semichemical pulping </t>
  </si>
  <si>
    <t>Recovery furnace – kraft</t>
  </si>
  <si>
    <t>Liquor furnace – sulfite</t>
  </si>
  <si>
    <t>Liquor furnace – semichem</t>
  </si>
  <si>
    <t>Lime kiln or calciner</t>
  </si>
  <si>
    <t>Incinerators for noncondensible gases, etc.</t>
  </si>
  <si>
    <t>On-site preparation of chemicals used in core operations (e.g. ClO2 or O3)</t>
  </si>
  <si>
    <t>Brightening of deinked pulp</t>
  </si>
  <si>
    <t>On-site vehicles and machinery</t>
  </si>
  <si>
    <t>Air emissions control devices</t>
  </si>
  <si>
    <t>Sludge processing</t>
  </si>
  <si>
    <t>Wastewater treatment operations</t>
  </si>
  <si>
    <t>Other fossil fuel-fired dryers</t>
  </si>
  <si>
    <t>Gas-fired infrared dryers</t>
  </si>
  <si>
    <t>On-site combustion turbines</t>
  </si>
  <si>
    <t>On-site power and steam boilers</t>
  </si>
  <si>
    <t>Roll trimming, roll wrapping, sheet cutting</t>
  </si>
  <si>
    <t>Paper and/or paperboard production</t>
  </si>
  <si>
    <t>Other Operation – describe:</t>
  </si>
  <si>
    <t>Normal offices/workspace for mill employees</t>
  </si>
  <si>
    <r>
      <t>CH</t>
    </r>
    <r>
      <rPr>
        <vertAlign val="subscript"/>
        <sz val="10"/>
        <rFont val="Arial"/>
        <family val="2"/>
      </rPr>
      <t>4</t>
    </r>
    <r>
      <rPr>
        <sz val="10"/>
        <rFont val="Arial"/>
        <family val="0"/>
      </rPr>
      <t xml:space="preserve"> Emission factor</t>
    </r>
  </si>
  <si>
    <r>
      <t>N</t>
    </r>
    <r>
      <rPr>
        <vertAlign val="subscript"/>
        <sz val="10"/>
        <rFont val="Arial"/>
        <family val="2"/>
      </rPr>
      <t>2</t>
    </r>
    <r>
      <rPr>
        <sz val="10"/>
        <rFont val="Arial"/>
        <family val="0"/>
      </rPr>
      <t>O Emission factor</t>
    </r>
  </si>
  <si>
    <r>
      <t>CH</t>
    </r>
    <r>
      <rPr>
        <vertAlign val="subscript"/>
        <sz val="10"/>
        <rFont val="Arial"/>
        <family val="2"/>
      </rPr>
      <t>4</t>
    </r>
    <r>
      <rPr>
        <sz val="10"/>
        <rFont val="Arial"/>
        <family val="0"/>
      </rPr>
      <t xml:space="preserve"> emissions in Ton.</t>
    </r>
  </si>
  <si>
    <t>Residual fuel oil (L) (No.5, No.6 fuel oil)
Lime kilns</t>
  </si>
  <si>
    <t>Anthracite (kg)</t>
  </si>
  <si>
    <r>
      <t>This tool was adapted from the original NCASI version by the United States - Mexico Foundation for Science (FUMEC) and tries to facilitate calculation and reporting of direct and direct emissions of CO</t>
    </r>
    <r>
      <rPr>
        <vertAlign val="subscript"/>
        <sz val="14"/>
        <rFont val="Arial"/>
        <family val="2"/>
      </rPr>
      <t>2</t>
    </r>
    <r>
      <rPr>
        <sz val="14"/>
        <rFont val="Arial"/>
        <family val="2"/>
      </rPr>
      <t>, CH</t>
    </r>
    <r>
      <rPr>
        <vertAlign val="subscript"/>
        <sz val="14"/>
        <rFont val="Arial"/>
        <family val="2"/>
      </rPr>
      <t>4</t>
    </r>
    <r>
      <rPr>
        <sz val="14"/>
        <rFont val="Arial"/>
        <family val="2"/>
      </rPr>
      <t>, N</t>
    </r>
    <r>
      <rPr>
        <vertAlign val="subscript"/>
        <sz val="14"/>
        <rFont val="Arial"/>
        <family val="2"/>
      </rPr>
      <t>2</t>
    </r>
    <r>
      <rPr>
        <sz val="14"/>
        <rFont val="Arial"/>
        <family val="2"/>
      </rPr>
      <t>O, &amp; SO</t>
    </r>
    <r>
      <rPr>
        <vertAlign val="subscript"/>
        <sz val="14"/>
        <rFont val="Arial"/>
        <family val="2"/>
      </rPr>
      <t>2</t>
    </r>
    <r>
      <rPr>
        <sz val="14"/>
        <rFont val="Arial"/>
        <family val="2"/>
      </rPr>
      <t xml:space="preserve"> (local pollutant for Mexico) emissions produced by pulp &amp; paper mills and auxiliary operations.  The quantification methodology can be utilized both for obligatory programs as the Emissions &amp; Pollutant Transfer Registry (RETC) or  voluntary programs such as the Mexican Greenhouse Gas Program.  It also deals with emission attributable to purchase and exportation of electricity, heat and/or steam.  This document has to be used in conjunction with two other documents:
1) Calculation Tool Guidance for Estimating Greenhouse Gases (GHG) for pulp &amp; paper mills, and
2) Greenhouse Gas Protocol -Corporate Accounting and Reporting Standard’, available at www.ghgprotocol.org  </t>
    </r>
    <r>
      <rPr>
        <sz val="12"/>
        <rFont val="Arial"/>
        <family val="2"/>
      </rPr>
      <t xml:space="preserve">
</t>
    </r>
  </si>
  <si>
    <t>Energy Exports</t>
  </si>
  <si>
    <t>Bituminous coal  (Kg) - Pulverized
Dry bottom, tangential firing</t>
  </si>
  <si>
    <t>Bituminous coal (Kg) - Pulverized
Wet bottom</t>
  </si>
  <si>
    <t>Bituminous coal (Kg) - Pulverized
Dry bottom, wall fired</t>
  </si>
  <si>
    <t>Bituminous coal (Kg)
Overfeed stoker boiler</t>
  </si>
  <si>
    <t>Bituminous coal (Kg)
Underfeed stoker boiler</t>
  </si>
  <si>
    <t>Bituminous coal (Kg) - fluidized bed
Circulating or bubbling</t>
  </si>
  <si>
    <t>Bituminous coal (Kg)
Spreader stoker boiler</t>
  </si>
  <si>
    <t>Sub-bituminous coal (Kg)
Overfeed stoker boiler</t>
  </si>
  <si>
    <t>Sub-bituminous coal (Kg)
Underfeed stoker boiler</t>
  </si>
  <si>
    <t>Sub-bituminous coal (Kg) - fluidized bed
Circulating or bubbling</t>
  </si>
  <si>
    <t>Petroleum coke (Kg)</t>
  </si>
  <si>
    <t>Distillate fuel (L) 
(No.1, No.2, No.4 fuel oil and diesel)
Calciners</t>
  </si>
  <si>
    <t>Distillate fuel (L) 
(No.1, No.2, No.4 fuel oil and diesel)
Mobile sources</t>
  </si>
  <si>
    <t>Distillate fuel (L)
(No.1, No.2, No.4 fuel oil and diesel)
Stationary sources except lime kilns and calciners</t>
  </si>
  <si>
    <t>Distillate fuel (L)
(No.1, No.2, No.4 fuel oil and diesel)
Lime kilns</t>
  </si>
  <si>
    <t>LPG (L)</t>
  </si>
  <si>
    <t>Gasoline / petrol (L)
Mobile 2-stroke engines, general</t>
  </si>
  <si>
    <t>Gasoline / petrol (L)
Mobile 2-stroke engines, forestry</t>
  </si>
  <si>
    <t>Gasoline / petrol (L)
Mobile 4-stroke engines</t>
  </si>
  <si>
    <t>Lubricants (L)</t>
  </si>
  <si>
    <t>Propane (L)</t>
  </si>
  <si>
    <t>Kerosene (L)</t>
  </si>
  <si>
    <r>
      <t>Natural Gas (m</t>
    </r>
    <r>
      <rPr>
        <vertAlign val="superscript"/>
        <sz val="10"/>
        <rFont val="Arial"/>
        <family val="2"/>
      </rPr>
      <t>3</t>
    </r>
    <r>
      <rPr>
        <sz val="10"/>
        <rFont val="Arial"/>
        <family val="0"/>
      </rPr>
      <t>) - calciners</t>
    </r>
  </si>
  <si>
    <r>
      <t>Natural gas (m</t>
    </r>
    <r>
      <rPr>
        <vertAlign val="superscript"/>
        <sz val="10"/>
        <rFont val="Arial"/>
        <family val="2"/>
      </rPr>
      <t>3</t>
    </r>
    <r>
      <rPr>
        <sz val="10"/>
        <rFont val="Arial"/>
        <family val="0"/>
      </rPr>
      <t>)(dry) - boilers and IR dryers</t>
    </r>
  </si>
  <si>
    <r>
      <t>Natural gas (m</t>
    </r>
    <r>
      <rPr>
        <vertAlign val="superscript"/>
        <sz val="10"/>
        <rFont val="Arial"/>
        <family val="2"/>
      </rPr>
      <t>3</t>
    </r>
    <r>
      <rPr>
        <sz val="10"/>
        <rFont val="Arial"/>
        <family val="0"/>
      </rPr>
      <t>) (dry) - lime kiln</t>
    </r>
  </si>
  <si>
    <r>
      <t>Natural gas (m</t>
    </r>
    <r>
      <rPr>
        <vertAlign val="superscript"/>
        <sz val="10"/>
        <rFont val="Arial"/>
        <family val="2"/>
      </rPr>
      <t>3</t>
    </r>
    <r>
      <rPr>
        <sz val="10"/>
        <rFont val="Arial"/>
        <family val="0"/>
      </rPr>
      <t>) (dry) - turbines</t>
    </r>
  </si>
  <si>
    <r>
      <t>Natural gas (m</t>
    </r>
    <r>
      <rPr>
        <vertAlign val="superscript"/>
        <sz val="10"/>
        <rFont val="Arial"/>
        <family val="2"/>
      </rPr>
      <t>3</t>
    </r>
    <r>
      <rPr>
        <sz val="10"/>
        <rFont val="Arial"/>
        <family val="0"/>
      </rPr>
      <t>) (dry) - Int. Comb. Engine
4 - cycle rich burn</t>
    </r>
  </si>
  <si>
    <r>
      <t>Natural gas (m</t>
    </r>
    <r>
      <rPr>
        <vertAlign val="superscript"/>
        <sz val="10"/>
        <rFont val="Arial"/>
        <family val="2"/>
      </rPr>
      <t>3</t>
    </r>
    <r>
      <rPr>
        <sz val="10"/>
        <rFont val="Arial"/>
        <family val="0"/>
      </rPr>
      <t>) (dry) - Int. Comb. Engine
2 - cycle lean burn</t>
    </r>
  </si>
  <si>
    <r>
      <t>Natural gas (m</t>
    </r>
    <r>
      <rPr>
        <vertAlign val="superscript"/>
        <sz val="10"/>
        <rFont val="Arial"/>
        <family val="2"/>
      </rPr>
      <t>3</t>
    </r>
    <r>
      <rPr>
        <sz val="10"/>
        <rFont val="Arial"/>
        <family val="0"/>
      </rPr>
      <t>) (dry) - Int. Comb. Engine
4 - cycle lean burn</t>
    </r>
  </si>
  <si>
    <r>
      <t>Step 4: Sum GHG emissions and CO</t>
    </r>
    <r>
      <rPr>
        <b/>
        <vertAlign val="subscript"/>
        <sz val="10"/>
        <rFont val="Arial"/>
        <family val="2"/>
      </rPr>
      <t>2</t>
    </r>
    <r>
      <rPr>
        <b/>
        <sz val="10"/>
        <rFont val="Arial"/>
        <family val="2"/>
      </rPr>
      <t xml:space="preserve"> exports: </t>
    </r>
  </si>
  <si>
    <t>This table was addapted by FUMEC and SEMARNAT from the Balance Nacional de Energía 2003</t>
  </si>
  <si>
    <t>* Kraft black liquor default emission factors are based on the carbon content of the liquors (assuming a one-percent correction for unoxidized carbon) and include any carbon exiting with smelt from a recovery furnace.  Therefore, for kraft mills, the liquor emission factors estimate biomss carbon emissions from both the recovery furnace and from the lime kiln.  Factors obtained from: Chapter 1- Chemical Recovery, by Esa Vakkilainen.  1999.  In: Papermaking Science and Technology, Book 6B:  Chemical Pulping.  Gullichsen, J., and Paulapuro, H. (eds.).  Helsinki, Finland: Fapet Oy</t>
  </si>
  <si>
    <r>
      <t>Emission Factor 
[Ton CO</t>
    </r>
    <r>
      <rPr>
        <vertAlign val="subscript"/>
        <sz val="10"/>
        <rFont val="Arial"/>
        <family val="2"/>
      </rPr>
      <t>2</t>
    </r>
    <r>
      <rPr>
        <sz val="10"/>
        <rFont val="Arial"/>
        <family val="0"/>
      </rPr>
      <t xml:space="preserve"> / GJ  LHV]</t>
    </r>
  </si>
  <si>
    <t>E = C x D</t>
  </si>
  <si>
    <t>Energy used (GJ)</t>
  </si>
  <si>
    <t>C = A x B</t>
  </si>
  <si>
    <r>
      <t>Ton CO</t>
    </r>
    <r>
      <rPr>
        <vertAlign val="subscript"/>
        <sz val="10"/>
        <rFont val="Arial"/>
        <family val="2"/>
      </rPr>
      <t>2</t>
    </r>
    <r>
      <rPr>
        <sz val="10"/>
        <rFont val="Arial"/>
        <family val="0"/>
      </rPr>
      <t xml:space="preserve"> / GJ LHV</t>
    </r>
  </si>
  <si>
    <r>
      <t>CO</t>
    </r>
    <r>
      <rPr>
        <vertAlign val="subscript"/>
        <sz val="10"/>
        <rFont val="Arial"/>
        <family val="0"/>
      </rPr>
      <t>2</t>
    </r>
    <r>
      <rPr>
        <sz val="10"/>
        <rFont val="Arial"/>
        <family val="0"/>
      </rPr>
      <t xml:space="preserve"> emissions in kg CO</t>
    </r>
    <r>
      <rPr>
        <vertAlign val="subscript"/>
        <sz val="10"/>
        <rFont val="Arial"/>
        <family val="2"/>
      </rPr>
      <t>2</t>
    </r>
    <r>
      <rPr>
        <sz val="10"/>
        <rFont val="Arial"/>
        <family val="0"/>
      </rPr>
      <t xml:space="preserve">/yr </t>
    </r>
  </si>
  <si>
    <r>
      <t>N</t>
    </r>
    <r>
      <rPr>
        <vertAlign val="subscript"/>
        <sz val="10"/>
        <rFont val="Arial"/>
        <family val="2"/>
      </rPr>
      <t>2</t>
    </r>
    <r>
      <rPr>
        <sz val="10"/>
        <rFont val="Arial"/>
        <family val="0"/>
      </rPr>
      <t>O emissions in Ton.</t>
    </r>
  </si>
  <si>
    <t>Step 4</t>
  </si>
  <si>
    <t>Step 5</t>
  </si>
  <si>
    <t>Not used in calculations</t>
  </si>
  <si>
    <t>Example: Calciner</t>
  </si>
  <si>
    <r>
      <t>CH</t>
    </r>
    <r>
      <rPr>
        <b/>
        <vertAlign val="subscript"/>
        <sz val="10"/>
        <rFont val="Arial"/>
        <family val="2"/>
      </rPr>
      <t>4</t>
    </r>
    <r>
      <rPr>
        <b/>
        <sz val="10"/>
        <rFont val="Arial"/>
        <family val="2"/>
      </rPr>
      <t xml:space="preserve"> and N</t>
    </r>
    <r>
      <rPr>
        <b/>
        <vertAlign val="subscript"/>
        <sz val="10"/>
        <rFont val="Arial"/>
        <family val="2"/>
      </rPr>
      <t>2</t>
    </r>
    <r>
      <rPr>
        <b/>
        <sz val="10"/>
        <rFont val="Arial"/>
        <family val="2"/>
      </rPr>
      <t>O Emissions Stationary Fossil Fuel Combustion</t>
    </r>
  </si>
  <si>
    <t>Global Warming Potentials  (GWP)</t>
  </si>
  <si>
    <t>Auto calculated value or suggested value:</t>
  </si>
  <si>
    <t>Conversion Factor To GJ (Heating Value of the fuel GJ/unit)</t>
  </si>
  <si>
    <t xml:space="preserve">Source Description </t>
  </si>
  <si>
    <t>DIRECT - MOBILE AND TRANSPORTATION SOURCE EMISSIONS</t>
  </si>
  <si>
    <t>Auto calculated value or suggested by the tool</t>
  </si>
  <si>
    <t>This worksheet has three methods to calculate emissions from mobile combustion sources, including transportation.
The worksheet contains three parts:
    Method 1 is used to calculate transportation emissions based on quantity of fuels consumed.
    Method 2 is used to calculate transportation emissions based on distance traveled.
    Method 3 is used to calculate emissions from non-transportation mobile sources such as harvesting equipment
WRI/WBCSD recommends the following approach. - For transportation emissions, because the data on fuel are generally more reliable, the estimation methods incorporated into Method 1 are preferred over those in Method 2 (distance-based).  Method 2 (the distance-based approach) should only be used as a last resort as it can introduce considerably higher levels of uncertainty in the CO2 estimates.
Avoid double counting!  If transportation emissions for a fleet are estimated using Method 1, do not also estimate emissions for this same fleet using Method 2.
Do not include any combustion sources on this page that were already addressed in the "Direct - Fuel Combust." sheet.</t>
  </si>
  <si>
    <t>Direct Emissions from Transportation and Mobile Equipment</t>
  </si>
  <si>
    <t xml:space="preserve">Method 1.  Emissions Calculated from Fuel Used:  All Modes of Transport </t>
  </si>
  <si>
    <t>Liters</t>
  </si>
  <si>
    <r>
      <t>kg CO</t>
    </r>
    <r>
      <rPr>
        <b/>
        <vertAlign val="subscript"/>
        <sz val="10"/>
        <rFont val="Arial"/>
        <family val="2"/>
      </rPr>
      <t>2</t>
    </r>
    <r>
      <rPr>
        <b/>
        <sz val="10"/>
        <rFont val="Arial"/>
        <family val="2"/>
      </rPr>
      <t xml:space="preserve"> / GJ fuel
[based on lower heating value, net calorific value]</t>
    </r>
  </si>
  <si>
    <r>
      <t>kg CH</t>
    </r>
    <r>
      <rPr>
        <b/>
        <vertAlign val="subscript"/>
        <sz val="10"/>
        <rFont val="Arial"/>
        <family val="2"/>
      </rPr>
      <t>4</t>
    </r>
    <r>
      <rPr>
        <b/>
        <sz val="10"/>
        <rFont val="Arial"/>
        <family val="2"/>
      </rPr>
      <t xml:space="preserve"> / GJ fuel 
[based on lower heating value, net calorific value]</t>
    </r>
  </si>
  <si>
    <r>
      <t>kg N</t>
    </r>
    <r>
      <rPr>
        <b/>
        <vertAlign val="subscript"/>
        <sz val="10"/>
        <rFont val="Arial"/>
        <family val="2"/>
      </rPr>
      <t>2</t>
    </r>
    <r>
      <rPr>
        <b/>
        <sz val="10"/>
        <rFont val="Arial"/>
        <family val="2"/>
      </rPr>
      <t>O / GJ fuel 
[based on lower heating value, net calorific value]</t>
    </r>
  </si>
  <si>
    <r>
      <t>kg CO</t>
    </r>
    <r>
      <rPr>
        <b/>
        <vertAlign val="subscript"/>
        <sz val="10"/>
        <rFont val="Arial"/>
        <family val="2"/>
      </rPr>
      <t>2</t>
    </r>
    <r>
      <rPr>
        <b/>
        <sz val="10"/>
        <rFont val="Arial"/>
        <family val="2"/>
      </rPr>
      <t xml:space="preserve"> equiv. / GJ fuel 
[based on lower heating value, net calorific value]</t>
    </r>
  </si>
  <si>
    <t xml:space="preserve">Note:  Use this worksheet to calculate your emissions from amount of fuel consumed. </t>
  </si>
  <si>
    <t>Source Description</t>
  </si>
  <si>
    <t>Type of Fuel Used</t>
  </si>
  <si>
    <t>Amount of fuel used</t>
  </si>
  <si>
    <t>Fuel used</t>
  </si>
  <si>
    <t>Example &gt;&gt;&gt;</t>
  </si>
  <si>
    <t>Energy used</t>
  </si>
  <si>
    <t>GJ per Fuel Unit</t>
  </si>
  <si>
    <t>GJ energy</t>
  </si>
  <si>
    <t>Used</t>
  </si>
  <si>
    <t>Custom</t>
  </si>
  <si>
    <t>GJ/unit</t>
  </si>
  <si>
    <t>Emissions Factor</t>
  </si>
  <si>
    <r>
      <t>Kg. CO</t>
    </r>
    <r>
      <rPr>
        <b/>
        <vertAlign val="subscript"/>
        <sz val="9"/>
        <rFont val="Arial"/>
        <family val="2"/>
      </rPr>
      <t>2</t>
    </r>
    <r>
      <rPr>
        <b/>
        <sz val="9"/>
        <rFont val="Arial"/>
        <family val="2"/>
      </rPr>
      <t xml:space="preserve"> per GJ</t>
    </r>
  </si>
  <si>
    <t>Emissions</t>
  </si>
  <si>
    <t>metric tonnes</t>
  </si>
  <si>
    <r>
      <t>Metric ton  CO</t>
    </r>
    <r>
      <rPr>
        <vertAlign val="subscript"/>
        <sz val="9"/>
        <rFont val="Arial"/>
        <family val="2"/>
      </rPr>
      <t>2</t>
    </r>
  </si>
  <si>
    <t>Total transportation emissons based on fuel uses (method 1)</t>
  </si>
  <si>
    <t>Transportation Activity</t>
  </si>
  <si>
    <t>Transport description</t>
  </si>
  <si>
    <t>Amount of Activity</t>
  </si>
  <si>
    <t>Activity Unit</t>
  </si>
  <si>
    <r>
      <t>CO</t>
    </r>
    <r>
      <rPr>
        <b/>
        <vertAlign val="subscript"/>
        <sz val="9"/>
        <rFont val="Arial"/>
        <family val="2"/>
      </rPr>
      <t>2</t>
    </r>
    <r>
      <rPr>
        <b/>
        <sz val="9"/>
        <rFont val="Arial"/>
        <family val="2"/>
      </rPr>
      <t xml:space="preserve"> emissions</t>
    </r>
  </si>
  <si>
    <t>Total emissions</t>
  </si>
  <si>
    <r>
      <t>CO</t>
    </r>
    <r>
      <rPr>
        <vertAlign val="subscript"/>
        <sz val="9"/>
        <rFont val="Arial"/>
        <family val="0"/>
      </rPr>
      <t>2</t>
    </r>
    <r>
      <rPr>
        <sz val="9"/>
        <rFont val="Arial"/>
        <family val="2"/>
      </rPr>
      <t>/unit</t>
    </r>
  </si>
  <si>
    <r>
      <t>CO</t>
    </r>
    <r>
      <rPr>
        <vertAlign val="subscript"/>
        <sz val="9"/>
        <rFont val="Arial"/>
        <family val="2"/>
      </rPr>
      <t>2</t>
    </r>
    <r>
      <rPr>
        <sz val="9"/>
        <rFont val="Arial"/>
        <family val="2"/>
      </rPr>
      <t>/unit</t>
    </r>
  </si>
  <si>
    <t>DETR, 1999, Section 4.2 (DETR factors are specifically labelled in the table)</t>
  </si>
  <si>
    <t>Holderbank, 2000 (Holderbank factors are in italics)</t>
  </si>
  <si>
    <t>For fuels not covered by IPCC, emission factors were calculated based on EIA values using the following formula:</t>
  </si>
  <si>
    <t>Emission factor (LHV) = Emission factor (HHV) / 0.95    for solid/liquid fuels and</t>
  </si>
  <si>
    <t>Emission factor (LHV) = Emission factor (HHV) / 0.90    for gaseous fuels</t>
  </si>
  <si>
    <t xml:space="preserve">For fuels not covered by EIA, emission factors were calculated based on IPCC values using the same conversion factor between lower and higher heating values </t>
  </si>
  <si>
    <t>EXPLANATION OF CELL COLOR SCHEME</t>
  </si>
  <si>
    <t>Diesel fuel</t>
  </si>
  <si>
    <t xml:space="preserve">Source description </t>
  </si>
  <si>
    <t>Fuel</t>
  </si>
  <si>
    <t>Other fuel - describe</t>
  </si>
  <si>
    <t xml:space="preserve">Sulfur content (s)  in Mexican Fuels </t>
  </si>
  <si>
    <t>Maximum level of sulfur (wt %)*</t>
  </si>
  <si>
    <t>Diesel Sweetened</t>
  </si>
  <si>
    <t>Light Fuel Oil (industrial)</t>
  </si>
  <si>
    <t>Heavy Fuel Oil</t>
  </si>
  <si>
    <t>Hydrated Fuel Oil: ZMCM after 1998</t>
  </si>
  <si>
    <t>Natural Gas (m3)</t>
  </si>
  <si>
    <t>Liquifed Petroleum Gas (LPG)</t>
  </si>
  <si>
    <t>Turbosine</t>
  </si>
  <si>
    <t>Thermal Coal (MICARE-Río Escondido)</t>
  </si>
  <si>
    <t>Termal Coal Imported</t>
  </si>
  <si>
    <t>Thermal Coal Steel making (Coke)</t>
  </si>
  <si>
    <r>
      <t>Note: SO</t>
    </r>
    <r>
      <rPr>
        <vertAlign val="subscript"/>
        <sz val="10"/>
        <rFont val="Arial"/>
        <family val="2"/>
      </rPr>
      <t>2</t>
    </r>
    <r>
      <rPr>
        <sz val="10"/>
        <rFont val="Arial"/>
        <family val="0"/>
      </rPr>
      <t xml:space="preserve"> is not a GHG but has been included as a local pollutan for Mexico in this tool and should not be reported with the GHG inventory results, but should be reported separately</t>
    </r>
  </si>
  <si>
    <r>
      <t>SO</t>
    </r>
    <r>
      <rPr>
        <b/>
        <vertAlign val="subscript"/>
        <sz val="20"/>
        <color indexed="18"/>
        <rFont val="Arial"/>
        <family val="2"/>
      </rPr>
      <t>2</t>
    </r>
    <r>
      <rPr>
        <b/>
        <sz val="20"/>
        <color indexed="18"/>
        <rFont val="Arial"/>
        <family val="2"/>
      </rPr>
      <t xml:space="preserve"> EMISSIONS (LOCAL POLLUTAN FOR MEXICO) FROM STATIONARY FUEL COMBUSTION</t>
    </r>
  </si>
  <si>
    <r>
      <t>SO</t>
    </r>
    <r>
      <rPr>
        <b/>
        <vertAlign val="subscript"/>
        <sz val="14"/>
        <rFont val="Arial"/>
        <family val="2"/>
      </rPr>
      <t>2</t>
    </r>
    <r>
      <rPr>
        <b/>
        <sz val="14"/>
        <rFont val="Arial"/>
        <family val="2"/>
      </rPr>
      <t xml:space="preserve"> Emissions- Stationary Fuel Combustion</t>
    </r>
  </si>
  <si>
    <t>Crude oil (average produced)</t>
  </si>
  <si>
    <t>Condensates</t>
  </si>
  <si>
    <t>Associated natural gas</t>
  </si>
  <si>
    <t>Non associated natural gas</t>
  </si>
  <si>
    <t>Thermal coal (MICARE)</t>
  </si>
  <si>
    <t>National steel making coal</t>
  </si>
  <si>
    <t>Electrical power primary equivalent</t>
  </si>
  <si>
    <t>Maya crude oil</t>
  </si>
  <si>
    <t>Istmo crude oil</t>
  </si>
  <si>
    <t>Olmeca crude oil</t>
  </si>
  <si>
    <t>Natural gasolines</t>
  </si>
  <si>
    <t>Petroleum Coke</t>
  </si>
  <si>
    <t>Liquified Gas</t>
  </si>
  <si>
    <t>Gasolines and naphtas</t>
  </si>
  <si>
    <t>kerosene</t>
  </si>
  <si>
    <t>Fuel Oil</t>
  </si>
  <si>
    <t>Asphalt</t>
  </si>
  <si>
    <t>Lubricants</t>
  </si>
  <si>
    <t>Greases</t>
  </si>
  <si>
    <t>Paraffins</t>
  </si>
  <si>
    <t>Natural Gas</t>
  </si>
  <si>
    <t>Sulfur</t>
  </si>
  <si>
    <t>Ethane</t>
  </si>
  <si>
    <t>Heat Input (GJ of energy used)</t>
  </si>
  <si>
    <t>Heat Input</t>
  </si>
  <si>
    <t>Raw material for carbon black</t>
  </si>
  <si>
    <t>Propane-propylene</t>
  </si>
  <si>
    <t>Butane-butiene</t>
  </si>
  <si>
    <t>Natural Gas for export</t>
  </si>
  <si>
    <t>Imported natural gas</t>
  </si>
  <si>
    <t>Other fuel</t>
  </si>
  <si>
    <t>International thermal coal</t>
  </si>
  <si>
    <t>International steel coal</t>
  </si>
  <si>
    <t>Coke from coal</t>
  </si>
  <si>
    <t>Wood</t>
  </si>
  <si>
    <t>Sugar cane baggase</t>
  </si>
  <si>
    <t>Electricity equivalents in secondary terms</t>
  </si>
  <si>
    <t>Uranium</t>
  </si>
  <si>
    <t>Heating Values of Mexican Fuels, Source: Balance de Energía 2003</t>
  </si>
  <si>
    <t>Units</t>
  </si>
  <si>
    <t xml:space="preserve">Light fuel for critical zones </t>
  </si>
  <si>
    <r>
      <t xml:space="preserve"> CH</t>
    </r>
    <r>
      <rPr>
        <b/>
        <vertAlign val="subscript"/>
        <sz val="20"/>
        <color indexed="18"/>
        <rFont val="Arial"/>
        <family val="2"/>
      </rPr>
      <t>4</t>
    </r>
    <r>
      <rPr>
        <b/>
        <sz val="20"/>
        <color indexed="18"/>
        <rFont val="Arial"/>
        <family val="2"/>
      </rPr>
      <t xml:space="preserve"> and N</t>
    </r>
    <r>
      <rPr>
        <b/>
        <vertAlign val="subscript"/>
        <sz val="20"/>
        <color indexed="18"/>
        <rFont val="Arial"/>
        <family val="2"/>
      </rPr>
      <t>2</t>
    </r>
    <r>
      <rPr>
        <b/>
        <sz val="20"/>
        <color indexed="18"/>
        <rFont val="Arial"/>
        <family val="2"/>
      </rPr>
      <t>O EMISSIONS FROM STATIONARY FUEL COMBUSTION</t>
    </r>
  </si>
  <si>
    <t>Electrical GHG Emission Factors by Hour Block for Mexico Suggested by ATPAE</t>
  </si>
  <si>
    <t>Average</t>
  </si>
  <si>
    <t xml:space="preserve">Hour Base </t>
  </si>
  <si>
    <t>Intermediate Hour</t>
  </si>
  <si>
    <t>Peak Hour (Peak Load)</t>
  </si>
  <si>
    <t>System</t>
  </si>
  <si>
    <t>Interconnected System</t>
  </si>
  <si>
    <t>Northwest System</t>
  </si>
  <si>
    <t>Baja California System</t>
  </si>
  <si>
    <t>Baja California Sur System</t>
  </si>
  <si>
    <t>All the national Electrical System (national averange)</t>
  </si>
  <si>
    <r>
      <t>GHG Emission Factors ( ton CO</t>
    </r>
    <r>
      <rPr>
        <b/>
        <vertAlign val="subscript"/>
        <sz val="10"/>
        <rFont val="Arial"/>
        <family val="2"/>
      </rPr>
      <t>2</t>
    </r>
    <r>
      <rPr>
        <b/>
        <sz val="10"/>
        <rFont val="Arial"/>
        <family val="0"/>
      </rPr>
      <t xml:space="preserve"> eq. / MWh) for México. Projections to the future to year 2010 2002-2010 (Source ATPAE)</t>
    </r>
  </si>
  <si>
    <t>Year</t>
  </si>
  <si>
    <t>EMISSIONS ASSOCIATED WITH EXPORTS OF ELECTRICITY AND STEAM</t>
  </si>
  <si>
    <t>Indirect emission impacts related to electricity and steam exports</t>
  </si>
  <si>
    <t>The indirect emissions impact is based on amount of emissions associated with producing the exported power or steam</t>
  </si>
  <si>
    <t>Total electricity/steam production by generator</t>
  </si>
  <si>
    <r>
      <t>Total direct CO</t>
    </r>
    <r>
      <rPr>
        <vertAlign val="subscript"/>
        <sz val="10"/>
        <rFont val="Arial"/>
        <family val="2"/>
      </rPr>
      <t>2</t>
    </r>
    <r>
      <rPr>
        <sz val="10"/>
        <rFont val="Arial"/>
        <family val="0"/>
      </rPr>
      <t xml:space="preserve"> emissions from generating the total electricity/steam</t>
    </r>
  </si>
  <si>
    <t>Electricity/steam exports from generator</t>
  </si>
  <si>
    <r>
      <t>Indirect CO</t>
    </r>
    <r>
      <rPr>
        <vertAlign val="subscript"/>
        <sz val="10"/>
        <rFont val="Arial"/>
        <family val="2"/>
      </rPr>
      <t>2</t>
    </r>
    <r>
      <rPr>
        <sz val="10"/>
        <rFont val="Arial"/>
        <family val="0"/>
      </rPr>
      <t xml:space="preserve"> emissions impact related to exported power or steam</t>
    </r>
  </si>
  <si>
    <t>Carbon intensity of exported power or steam</t>
  </si>
  <si>
    <t>Carbon intensity of power on the grid into which the export occurred
(applies to electricity only)</t>
  </si>
  <si>
    <r>
      <t>metric tons CO</t>
    </r>
    <r>
      <rPr>
        <vertAlign val="subscript"/>
        <sz val="10"/>
        <rFont val="Arial"/>
        <family val="2"/>
      </rPr>
      <t>2</t>
    </r>
    <r>
      <rPr>
        <sz val="10"/>
        <rFont val="Arial"/>
        <family val="0"/>
      </rPr>
      <t xml:space="preserve"> equiv. / MWh</t>
    </r>
  </si>
  <si>
    <r>
      <t>metric tons CO</t>
    </r>
    <r>
      <rPr>
        <vertAlign val="subscript"/>
        <sz val="10"/>
        <rFont val="Arial"/>
        <family val="2"/>
      </rPr>
      <t>2</t>
    </r>
    <r>
      <rPr>
        <sz val="10"/>
        <rFont val="Arial"/>
        <family val="0"/>
      </rPr>
      <t xml:space="preserve"> equiv / MWh</t>
    </r>
  </si>
  <si>
    <t>Note: The emissions and indirect emissions impacts related to electricity and steam exports should be reported separately from indirect emissions from imported power or steam</t>
  </si>
  <si>
    <t>National Electric System</t>
  </si>
  <si>
    <t>All the System (National Averange)</t>
  </si>
  <si>
    <t>Location of the company in the National Electric System (NES)</t>
  </si>
  <si>
    <t>Year of the Emission Factor</t>
  </si>
  <si>
    <r>
      <t>CO</t>
    </r>
    <r>
      <rPr>
        <vertAlign val="subscript"/>
        <sz val="10"/>
        <rFont val="Arial"/>
        <family val="2"/>
      </rPr>
      <t>2</t>
    </r>
    <r>
      <rPr>
        <sz val="10"/>
        <rFont val="Arial"/>
        <family val="0"/>
      </rPr>
      <t xml:space="preserve"> Emission Factor for imported electricity or steam*</t>
    </r>
  </si>
  <si>
    <t>E = A * D</t>
  </si>
  <si>
    <r>
      <t>Ton CO</t>
    </r>
    <r>
      <rPr>
        <vertAlign val="subscript"/>
        <sz val="10"/>
        <rFont val="Arial"/>
        <family val="2"/>
      </rPr>
      <t>2</t>
    </r>
    <r>
      <rPr>
        <sz val="10"/>
        <rFont val="Arial"/>
        <family val="0"/>
      </rPr>
      <t xml:space="preserve"> / MWh</t>
    </r>
  </si>
  <si>
    <r>
      <t>Step 6: Sum CO</t>
    </r>
    <r>
      <rPr>
        <b/>
        <vertAlign val="subscript"/>
        <sz val="10"/>
        <rFont val="Arial"/>
        <family val="2"/>
      </rPr>
      <t xml:space="preserve">2 </t>
    </r>
    <r>
      <rPr>
        <b/>
        <sz val="10"/>
        <rFont val="Arial"/>
        <family val="2"/>
      </rPr>
      <t xml:space="preserve">emissions: </t>
    </r>
  </si>
  <si>
    <t>Sistema Baja California Sur</t>
  </si>
  <si>
    <t>Norrhwest System</t>
  </si>
  <si>
    <r>
      <t>Step 6: Sum CO</t>
    </r>
    <r>
      <rPr>
        <b/>
        <vertAlign val="subscript"/>
        <sz val="10"/>
        <rFont val="Arial"/>
        <family val="2"/>
      </rPr>
      <t>2</t>
    </r>
    <r>
      <rPr>
        <b/>
        <sz val="10"/>
        <rFont val="Arial"/>
        <family val="2"/>
      </rPr>
      <t xml:space="preserve"> emissions impacts related to exported power or steam:</t>
    </r>
  </si>
  <si>
    <r>
      <t>IMPORTS AND EXPORTS OF FOSSIL CO</t>
    </r>
    <r>
      <rPr>
        <b/>
        <vertAlign val="subscript"/>
        <sz val="20"/>
        <color indexed="18"/>
        <rFont val="Arial"/>
        <family val="2"/>
      </rPr>
      <t>2</t>
    </r>
  </si>
  <si>
    <t>Including exports to satellite precipitated calcium carbonate (PCC) plants</t>
  </si>
  <si>
    <r>
      <t>Fossil CO</t>
    </r>
    <r>
      <rPr>
        <b/>
        <vertAlign val="subscript"/>
        <sz val="12"/>
        <rFont val="Arial"/>
        <family val="2"/>
      </rPr>
      <t>2</t>
    </r>
    <r>
      <rPr>
        <b/>
        <sz val="12"/>
        <rFont val="Arial"/>
        <family val="2"/>
      </rPr>
      <t xml:space="preserve"> imported to mill site (e.g. for neutralization)</t>
    </r>
  </si>
  <si>
    <r>
      <t>Total fossil CO</t>
    </r>
    <r>
      <rPr>
        <vertAlign val="subscript"/>
        <sz val="10"/>
        <rFont val="Arial"/>
        <family val="2"/>
      </rPr>
      <t>2</t>
    </r>
    <r>
      <rPr>
        <sz val="10"/>
        <rFont val="Arial"/>
        <family val="0"/>
      </rPr>
      <t xml:space="preserve"> imported to mill
[metric tons CO</t>
    </r>
    <r>
      <rPr>
        <vertAlign val="subscript"/>
        <sz val="10"/>
        <rFont val="Arial"/>
        <family val="2"/>
      </rPr>
      <t>2</t>
    </r>
    <r>
      <rPr>
        <sz val="10"/>
        <rFont val="Arial"/>
        <family val="0"/>
      </rPr>
      <t xml:space="preserve"> per year]</t>
    </r>
  </si>
  <si>
    <r>
      <t>Total CO</t>
    </r>
    <r>
      <rPr>
        <vertAlign val="subscript"/>
        <sz val="10"/>
        <rFont val="Arial"/>
        <family val="2"/>
      </rPr>
      <t>2</t>
    </r>
    <r>
      <rPr>
        <sz val="10"/>
        <rFont val="Arial"/>
        <family val="0"/>
      </rPr>
      <t xml:space="preserve"> generated by burning fossil fuel in the combustion unit supplying the PCC plant
[metric tons CO</t>
    </r>
    <r>
      <rPr>
        <vertAlign val="subscript"/>
        <sz val="10"/>
        <rFont val="Arial"/>
        <family val="2"/>
      </rPr>
      <t>2</t>
    </r>
    <r>
      <rPr>
        <sz val="10"/>
        <rFont val="Arial"/>
        <family val="0"/>
      </rPr>
      <t xml:space="preserve"> per year]</t>
    </r>
  </si>
  <si>
    <t>Fraction of the gas from this source that is sent to the PCC plant over a year's time 
(Note: Amounts released by the mill rather than exported to the PCC plant should be shown on the "Direct - fuel combust." worksheet)</t>
  </si>
  <si>
    <r>
      <t>Fossil CO</t>
    </r>
    <r>
      <rPr>
        <vertAlign val="subscript"/>
        <sz val="10"/>
        <rFont val="Arial"/>
        <family val="2"/>
      </rPr>
      <t>2</t>
    </r>
    <r>
      <rPr>
        <sz val="10"/>
        <rFont val="Arial"/>
        <family val="0"/>
      </rPr>
      <t xml:space="preserve"> Exports to PCC plant
[metric tons CO</t>
    </r>
    <r>
      <rPr>
        <vertAlign val="subscript"/>
        <sz val="10"/>
        <rFont val="Arial"/>
        <family val="2"/>
      </rPr>
      <t>2</t>
    </r>
    <r>
      <rPr>
        <sz val="10"/>
        <rFont val="Arial"/>
        <family val="0"/>
      </rPr>
      <t xml:space="preserve"> per year]</t>
    </r>
  </si>
  <si>
    <t>SUMMARY OF INVENTORY RESULTS</t>
  </si>
  <si>
    <t>Summary of Inventory Results</t>
  </si>
  <si>
    <t>Name of Inventory</t>
  </si>
  <si>
    <t>General description of inventory boundaries</t>
  </si>
  <si>
    <t>Direct Emission Impacts</t>
  </si>
  <si>
    <r>
      <t>Describe if estimates include emissions of methane (CH</t>
    </r>
    <r>
      <rPr>
        <b/>
        <vertAlign val="subscript"/>
        <sz val="12"/>
        <rFont val="Arial"/>
        <family val="2"/>
      </rPr>
      <t>4</t>
    </r>
    <r>
      <rPr>
        <b/>
        <sz val="12"/>
        <rFont val="Arial"/>
        <family val="2"/>
      </rPr>
      <t>) and nitrous oxide (N</t>
    </r>
    <r>
      <rPr>
        <b/>
        <vertAlign val="subscript"/>
        <sz val="12"/>
        <rFont val="Arial"/>
        <family val="2"/>
      </rPr>
      <t>2</t>
    </r>
    <r>
      <rPr>
        <b/>
        <sz val="12"/>
        <rFont val="Arial"/>
        <family val="2"/>
      </rPr>
      <t>O), or are for carbon dioxide (CO</t>
    </r>
    <r>
      <rPr>
        <b/>
        <vertAlign val="subscript"/>
        <sz val="12"/>
        <rFont val="Arial"/>
        <family val="2"/>
      </rPr>
      <t>2</t>
    </r>
    <r>
      <rPr>
        <b/>
        <sz val="12"/>
        <rFont val="Arial"/>
        <family val="2"/>
      </rPr>
      <t>) only</t>
    </r>
  </si>
  <si>
    <r>
      <t>Total Direct Emissions from stationary fuel combustion
[ metric tons CO</t>
    </r>
    <r>
      <rPr>
        <vertAlign val="subscript"/>
        <sz val="12"/>
        <rFont val="Arial"/>
        <family val="2"/>
      </rPr>
      <t xml:space="preserve">2 </t>
    </r>
    <r>
      <rPr>
        <sz val="12"/>
        <rFont val="Arial"/>
        <family val="2"/>
      </rPr>
      <t>-equiv / year ]</t>
    </r>
  </si>
  <si>
    <r>
      <t>Total  Emissions Mobile Sources and Transportation
[ metric tons CO</t>
    </r>
    <r>
      <rPr>
        <vertAlign val="subscript"/>
        <sz val="12"/>
        <rFont val="Arial"/>
        <family val="2"/>
      </rPr>
      <t xml:space="preserve">2 </t>
    </r>
    <r>
      <rPr>
        <sz val="12"/>
        <rFont val="Arial"/>
        <family val="2"/>
      </rPr>
      <t>-equiv / year ]</t>
    </r>
  </si>
  <si>
    <r>
      <t>Total Direct Emissions from Waste Management
[ metric tons CO</t>
    </r>
    <r>
      <rPr>
        <vertAlign val="subscript"/>
        <sz val="12"/>
        <rFont val="Arial"/>
        <family val="2"/>
      </rPr>
      <t xml:space="preserve">2 </t>
    </r>
    <r>
      <rPr>
        <sz val="12"/>
        <rFont val="Arial"/>
        <family val="2"/>
      </rPr>
      <t>-equiv. / year ]</t>
    </r>
  </si>
  <si>
    <r>
      <t>SO</t>
    </r>
    <r>
      <rPr>
        <vertAlign val="subscript"/>
        <sz val="10"/>
        <rFont val="Arial"/>
        <family val="2"/>
      </rPr>
      <t>2</t>
    </r>
    <r>
      <rPr>
        <sz val="10"/>
        <rFont val="Arial"/>
        <family val="0"/>
      </rPr>
      <t xml:space="preserve"> emissions in metric tons</t>
    </r>
  </si>
  <si>
    <r>
      <t>Note that where CO</t>
    </r>
    <r>
      <rPr>
        <vertAlign val="subscript"/>
        <sz val="10"/>
        <rFont val="Arial"/>
        <family val="2"/>
      </rPr>
      <t>2</t>
    </r>
    <r>
      <rPr>
        <sz val="10"/>
        <rFont val="Arial"/>
        <family val="2"/>
      </rPr>
      <t xml:space="preserve"> exports consist of gases from a fossil fuel fired lime kiln or calciner, the exports of fossil fuel-derived CO2 shown in the GHG inventory results will be accompanied by exports of climate-neutral biomass-derived CO2.  As a general approximation, the amounts of climate-neutral biomass-derived CO</t>
    </r>
    <r>
      <rPr>
        <vertAlign val="subscript"/>
        <sz val="10"/>
        <rFont val="Arial"/>
        <family val="2"/>
      </rPr>
      <t>2</t>
    </r>
    <r>
      <rPr>
        <sz val="10"/>
        <rFont val="Arial"/>
        <family val="2"/>
      </rPr>
      <t xml:space="preserve"> will be twice the exports of fossil fuel-derived CO2 (Miner, R. and Upton, B.  2002.  Methods for estimating greenhouse gas emissions from lime kilns at kraft pulp mills.  Energy, Volume 27 No. 8, pp. 729-738 (Sept. 2002).)  
Additional information on biomass is presented in the "Supporting Info. on Biomass" worksheet.</t>
    </r>
  </si>
  <si>
    <r>
      <t>Total Direct Emissions from Make-up Chemicals used in the Pulp Mill
[ metric tons CO</t>
    </r>
    <r>
      <rPr>
        <vertAlign val="subscript"/>
        <sz val="12"/>
        <rFont val="Arial"/>
        <family val="2"/>
      </rPr>
      <t>2</t>
    </r>
    <r>
      <rPr>
        <sz val="12"/>
        <rFont val="Arial"/>
        <family val="2"/>
      </rPr>
      <t xml:space="preserve"> -equiv. / year ]</t>
    </r>
  </si>
  <si>
    <r>
      <t>Total Direct Emissions
[ metric tons CO</t>
    </r>
    <r>
      <rPr>
        <vertAlign val="subscript"/>
        <sz val="12"/>
        <rFont val="Arial"/>
        <family val="2"/>
      </rPr>
      <t xml:space="preserve">2 </t>
    </r>
    <r>
      <rPr>
        <sz val="12"/>
        <rFont val="Arial"/>
        <family val="2"/>
      </rPr>
      <t>-equiv. / year ]</t>
    </r>
  </si>
  <si>
    <t>Indirect Emission Impacts</t>
  </si>
  <si>
    <r>
      <t>Total indirect emissions from steam and power imports
[ metric tons CO</t>
    </r>
    <r>
      <rPr>
        <vertAlign val="subscript"/>
        <sz val="12"/>
        <rFont val="Arial"/>
        <family val="2"/>
      </rPr>
      <t xml:space="preserve">2 </t>
    </r>
    <r>
      <rPr>
        <sz val="12"/>
        <rFont val="Arial"/>
        <family val="2"/>
      </rPr>
      <t>-equiv. / year ]</t>
    </r>
  </si>
  <si>
    <r>
      <t>Total emissions related to steam and power exports
[ metric tons CO</t>
    </r>
    <r>
      <rPr>
        <vertAlign val="subscript"/>
        <sz val="12"/>
        <rFont val="Arial"/>
        <family val="2"/>
      </rPr>
      <t xml:space="preserve">2 </t>
    </r>
    <r>
      <rPr>
        <sz val="12"/>
        <rFont val="Arial"/>
        <family val="2"/>
      </rPr>
      <t>-equiv. / year ]</t>
    </r>
  </si>
  <si>
    <t>Imports and Exports of Greenhouse Gases</t>
  </si>
  <si>
    <r>
      <t>Fossil CO</t>
    </r>
    <r>
      <rPr>
        <vertAlign val="subscript"/>
        <sz val="12"/>
        <rFont val="Arial"/>
        <family val="2"/>
      </rPr>
      <t>2</t>
    </r>
    <r>
      <rPr>
        <sz val="12"/>
        <rFont val="Arial"/>
        <family val="2"/>
      </rPr>
      <t xml:space="preserve"> Imports to Mill
[ metric tons CO</t>
    </r>
    <r>
      <rPr>
        <vertAlign val="subscript"/>
        <sz val="12"/>
        <rFont val="Arial"/>
        <family val="2"/>
      </rPr>
      <t xml:space="preserve">2 </t>
    </r>
    <r>
      <rPr>
        <sz val="12"/>
        <rFont val="Arial"/>
        <family val="2"/>
      </rPr>
      <t>-equiv. / year ]</t>
    </r>
  </si>
  <si>
    <r>
      <t>Fossil CO</t>
    </r>
    <r>
      <rPr>
        <vertAlign val="subscript"/>
        <sz val="12"/>
        <rFont val="Arial"/>
        <family val="2"/>
      </rPr>
      <t>2</t>
    </r>
    <r>
      <rPr>
        <sz val="12"/>
        <rFont val="Arial"/>
        <family val="2"/>
      </rPr>
      <t xml:space="preserve"> Exports to PCC Plants
[ metric tons CO</t>
    </r>
    <r>
      <rPr>
        <vertAlign val="subscript"/>
        <sz val="12"/>
        <rFont val="Arial"/>
        <family val="2"/>
      </rPr>
      <t xml:space="preserve">2 </t>
    </r>
    <r>
      <rPr>
        <sz val="12"/>
        <rFont val="Arial"/>
        <family val="2"/>
      </rPr>
      <t>-equiv. / year ]</t>
    </r>
  </si>
  <si>
    <t>CUSTOM EMISSION FACTORS</t>
  </si>
  <si>
    <t>Net Calorific Value</t>
  </si>
  <si>
    <t>Carbon Content</t>
  </si>
  <si>
    <t>GJ / metric tons</t>
  </si>
  <si>
    <t xml:space="preserve">This should be entered as a fraction, i.e. 0 &gt; x &gt; 1 </t>
  </si>
  <si>
    <t>Fuel Type</t>
  </si>
  <si>
    <t>ENERGY CONTENT</t>
  </si>
  <si>
    <t>Default factors for fuel specific higher heating values</t>
  </si>
  <si>
    <t>Net Heating Values  *</t>
  </si>
  <si>
    <t>Heating Value</t>
  </si>
  <si>
    <t>GJ/m3</t>
  </si>
  <si>
    <t>These spreadsheets include significant amounts of material copied from other WRI and WBCSD calculation tools. Intellectual property rights of the WRI and WBCSD calculation tools belong to WRI and WBCSD, unless stated otherwise.</t>
  </si>
  <si>
    <r>
      <t xml:space="preserve">User Agreement:  </t>
    </r>
    <r>
      <rPr>
        <sz val="12"/>
        <rFont val="Arial"/>
        <family val="2"/>
      </rPr>
      <t>By using the Spreadsheets and associated materials in any manner, the User agrees to the following terms of this agreement:</t>
    </r>
  </si>
  <si>
    <r>
      <t xml:space="preserve">Copyright:  </t>
    </r>
    <r>
      <rPr>
        <sz val="12"/>
        <rFont val="Arial"/>
        <family val="2"/>
      </rPr>
      <t>Portions of the spreadsheets and associated materials (except SO</t>
    </r>
    <r>
      <rPr>
        <vertAlign val="subscript"/>
        <sz val="12"/>
        <rFont val="Arial"/>
        <family val="2"/>
      </rPr>
      <t>2</t>
    </r>
    <r>
      <rPr>
        <sz val="12"/>
        <rFont val="Arial"/>
        <family val="2"/>
      </rPr>
      <t xml:space="preserve"> that was adapted from the IPCC methodology for SO</t>
    </r>
    <r>
      <rPr>
        <vertAlign val="subscript"/>
        <sz val="12"/>
        <rFont val="Arial"/>
        <family val="2"/>
      </rPr>
      <t>2</t>
    </r>
    <r>
      <rPr>
        <sz val="12"/>
        <rFont val="Arial"/>
        <family val="2"/>
      </rPr>
      <t xml:space="preserve">) were developed by WRI, WBCSD or NCASI, are copyrighted, and are published here with the permission of those developers.  The User acknowledges these copyrights.  </t>
    </r>
  </si>
  <si>
    <r>
      <t xml:space="preserve">Acknowledgement:  </t>
    </r>
    <r>
      <rPr>
        <sz val="12"/>
        <rFont val="Arial"/>
        <family val="2"/>
      </rPr>
      <t xml:space="preserve">The User agrees to acknowledge WRI, WBCSD, ICFPA, and NCASI for their roles in developing the Spreadsheets whenever the User authors reports or publications based in whole or in part on the use of the Spreadsheets.  </t>
    </r>
  </si>
  <si>
    <r>
      <t xml:space="preserve">Disclaimer: </t>
    </r>
    <r>
      <rPr>
        <sz val="12"/>
        <rFont val="Arial"/>
        <family val="2"/>
      </rPr>
      <t xml:space="preserve">These Spreadsheets and associated materials have been prepared with a high degree of expertise and professionalism, and it is believed that the Spreadsheets provide a useful and accurate approach for calculating greenhouse gas emissions.  However, the organizations involved in their development, including WRI, WBCSD, ICFPA, NCASI and FUMEC, collectively and individually, do not warrant these Spreadsheets for any purpose, nor do they make any representations regarding their fitness for any use or purpose whatsoever.  Each User agrees to decide if, when and how to use the Spreadsheets, and does so at his or her sole risk.  Under no circumstances shall WRI, WBCSD, ICFPA or NCASI be liable for any damages, including incidental, special or consequential damages, arising from the use of these Spreadsheets or an inability to use them.  </t>
    </r>
  </si>
  <si>
    <r>
      <t>Step 6: CO</t>
    </r>
    <r>
      <rPr>
        <b/>
        <vertAlign val="subscript"/>
        <sz val="10"/>
        <rFont val="Arial"/>
        <family val="2"/>
      </rPr>
      <t>2</t>
    </r>
    <r>
      <rPr>
        <b/>
        <sz val="10"/>
        <rFont val="Arial"/>
        <family val="2"/>
      </rPr>
      <t xml:space="preserve"> exported to PCC plant 
(calculated in "CO</t>
    </r>
    <r>
      <rPr>
        <b/>
        <vertAlign val="subscript"/>
        <sz val="10"/>
        <rFont val="Arial"/>
        <family val="2"/>
      </rPr>
      <t>2</t>
    </r>
    <r>
      <rPr>
        <b/>
        <sz val="10"/>
        <rFont val="Arial"/>
        <family val="2"/>
      </rPr>
      <t xml:space="preserve"> Imports and Exports" worksheet)</t>
    </r>
  </si>
  <si>
    <r>
      <t>Sum of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emissions</t>
    </r>
  </si>
  <si>
    <r>
      <t>Sum of the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emissions in CO</t>
    </r>
    <r>
      <rPr>
        <b/>
        <vertAlign val="subscript"/>
        <sz val="12"/>
        <rFont val="Arial"/>
        <family val="2"/>
      </rPr>
      <t>2</t>
    </r>
    <r>
      <rPr>
        <b/>
        <sz val="12"/>
        <rFont val="Arial"/>
        <family val="2"/>
      </rPr>
      <t xml:space="preserve"> eq.</t>
    </r>
  </si>
  <si>
    <r>
      <t>Total sum of the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emissions in CO</t>
    </r>
    <r>
      <rPr>
        <b/>
        <vertAlign val="subscript"/>
        <sz val="12"/>
        <rFont val="Arial"/>
        <family val="2"/>
      </rPr>
      <t>2</t>
    </r>
    <r>
      <rPr>
        <b/>
        <sz val="12"/>
        <rFont val="Arial"/>
        <family val="2"/>
      </rPr>
      <t xml:space="preserve"> eq.</t>
    </r>
  </si>
  <si>
    <t>Energy Content (GJ)</t>
  </si>
  <si>
    <t>C = A *B</t>
  </si>
  <si>
    <t>GJ / L</t>
  </si>
  <si>
    <r>
      <t xml:space="preserve">Conversion Factor to GJ (Heating Value in GJ/L, </t>
    </r>
    <r>
      <rPr>
        <sz val="10"/>
        <color indexed="10"/>
        <rFont val="Arial"/>
        <family val="2"/>
      </rPr>
      <t>except for natural gas in GJ/m</t>
    </r>
    <r>
      <rPr>
        <vertAlign val="superscript"/>
        <sz val="10"/>
        <color indexed="10"/>
        <rFont val="Arial"/>
        <family val="2"/>
      </rPr>
      <t>3</t>
    </r>
    <r>
      <rPr>
        <sz val="10"/>
        <color indexed="10"/>
        <rFont val="Arial"/>
        <family val="2"/>
      </rPr>
      <t xml:space="preserve"> and coal in GJ/ton)</t>
    </r>
  </si>
  <si>
    <t>http://www.epa.gov/autoemissions/</t>
  </si>
  <si>
    <t>Medium Station wagon, hwy</t>
  </si>
  <si>
    <t>Mini Van, hwy</t>
  </si>
  <si>
    <t>Inventory of US Greenhouse Gas Emisions and sinks: 1990-1998</t>
  </si>
  <si>
    <t>diesel</t>
  </si>
  <si>
    <t>F = E*12/44 / 1000</t>
  </si>
  <si>
    <t>http://www.ghgprotocol.org/standard/tools.htm</t>
  </si>
  <si>
    <t>E = D / C</t>
  </si>
  <si>
    <t>GJ/kg</t>
  </si>
  <si>
    <r>
      <t>kg CO</t>
    </r>
    <r>
      <rPr>
        <vertAlign val="subscript"/>
        <sz val="10"/>
        <rFont val="Arial"/>
        <family val="2"/>
      </rPr>
      <t>2</t>
    </r>
    <r>
      <rPr>
        <sz val="10"/>
        <rFont val="Arial"/>
        <family val="0"/>
      </rPr>
      <t xml:space="preserve"> equiv. / GJ</t>
    </r>
  </si>
  <si>
    <r>
      <t>CO</t>
    </r>
    <r>
      <rPr>
        <vertAlign val="subscript"/>
        <sz val="9"/>
        <rFont val="Arial"/>
        <family val="2"/>
      </rPr>
      <t>2</t>
    </r>
    <r>
      <rPr>
        <sz val="9"/>
        <rFont val="Arial"/>
        <family val="2"/>
      </rPr>
      <t>/GJ</t>
    </r>
  </si>
  <si>
    <t>GJ (PCI)</t>
  </si>
  <si>
    <t>F = E * 21</t>
  </si>
  <si>
    <t>E = D / 1000</t>
  </si>
  <si>
    <t>GJ/L</t>
  </si>
  <si>
    <t>Magna Sin</t>
  </si>
  <si>
    <t>Nova Plus</t>
  </si>
  <si>
    <t>Diesel Industrial</t>
  </si>
  <si>
    <t>F= 2 (B/100)*(1/E)10^3*((100-C)/100)*((100-D)/100)</t>
  </si>
  <si>
    <t>u</t>
  </si>
  <si>
    <t>1,000,000,000</t>
  </si>
  <si>
    <t>1,000,000,000,000</t>
  </si>
  <si>
    <t>D = B * C / A</t>
  </si>
  <si>
    <t xml:space="preserve">C </t>
  </si>
  <si>
    <t>3135 (UK DETR)</t>
  </si>
  <si>
    <t>3150 (UK DETR)</t>
  </si>
  <si>
    <t>3142 (UK DETR)</t>
  </si>
  <si>
    <t>3117 (UK DETR)</t>
  </si>
  <si>
    <t>2947 (UK DETR)</t>
  </si>
  <si>
    <t>2844 (UK DETR)</t>
  </si>
  <si>
    <t>2858 (UK DETR)</t>
  </si>
  <si>
    <t>2850 (UK DETR)</t>
  </si>
  <si>
    <t>2828 (UK DETR)</t>
  </si>
  <si>
    <t>2673 (UK DETR)</t>
  </si>
  <si>
    <t>69.62 (IPCC)</t>
  </si>
  <si>
    <t>73.44 (IPCC)</t>
  </si>
  <si>
    <t>250.67 (IPCC)</t>
  </si>
  <si>
    <t>70.72 (EIA)</t>
  </si>
  <si>
    <t>69.11 (EIA)</t>
  </si>
  <si>
    <t>62.99 (EIA)</t>
  </si>
  <si>
    <t>100.44 (EIA)</t>
  </si>
  <si>
    <t>74.61 (EIA)</t>
  </si>
  <si>
    <t>72.92 (EIA)</t>
  </si>
  <si>
    <t>66.45 (EIA)</t>
  </si>
  <si>
    <t>254.64 (EIA)</t>
  </si>
  <si>
    <t>248.86 (EIA)</t>
  </si>
  <si>
    <t>226.8 (EIA)</t>
  </si>
  <si>
    <t xml:space="preserve">E </t>
  </si>
  <si>
    <t>(% w/w)</t>
  </si>
  <si>
    <t>Valor auto calculado:</t>
  </si>
  <si>
    <t>Diesel Sin</t>
  </si>
  <si>
    <t>N/D</t>
  </si>
  <si>
    <t>GNC</t>
  </si>
  <si>
    <t>453.6 gramos (g)</t>
  </si>
  <si>
    <t>A</t>
  </si>
  <si>
    <t>B</t>
  </si>
  <si>
    <t>D</t>
  </si>
  <si>
    <t>E</t>
  </si>
  <si>
    <t>F</t>
  </si>
  <si>
    <t>C</t>
  </si>
  <si>
    <t>G</t>
  </si>
  <si>
    <t>3412 Btu (btu)</t>
  </si>
  <si>
    <t>1 gigajoule (GJ)</t>
  </si>
  <si>
    <t>1.055 gigajoules (GJ)</t>
  </si>
  <si>
    <t>1 Btu (btu)</t>
  </si>
  <si>
    <t>1 megajoule (MJ)</t>
  </si>
  <si>
    <t>0.001 gigajoules (GJ)</t>
  </si>
  <si>
    <t>1 therm (therm)</t>
  </si>
  <si>
    <t>0.1055 gigajoules (GJ)</t>
  </si>
  <si>
    <t>101.325 kilo pascals</t>
  </si>
  <si>
    <t>0.9869 bar</t>
  </si>
  <si>
    <t>1.0197 bar</t>
  </si>
  <si>
    <r>
      <t xml:space="preserve">1 kgf / cm </t>
    </r>
    <r>
      <rPr>
        <vertAlign val="superscript"/>
        <sz val="12"/>
        <rFont val="Arial"/>
        <family val="2"/>
      </rPr>
      <t>3</t>
    </r>
    <r>
      <rPr>
        <sz val="12"/>
        <rFont val="Arial"/>
        <family val="2"/>
      </rPr>
      <t xml:space="preserve"> (tech atm)</t>
    </r>
  </si>
  <si>
    <t>1 psi</t>
  </si>
  <si>
    <t>14.5037 bar</t>
  </si>
  <si>
    <t>kilo</t>
  </si>
  <si>
    <t>mega</t>
  </si>
  <si>
    <t>giga</t>
  </si>
  <si>
    <t>tera</t>
  </si>
  <si>
    <t>1,055 joules (J)</t>
  </si>
  <si>
    <t xml:space="preserve">100,000 btu </t>
  </si>
  <si>
    <t>1,000</t>
  </si>
  <si>
    <t>1,000,000</t>
  </si>
  <si>
    <t>G= (AxF)/1000</t>
  </si>
  <si>
    <t>Kwh.</t>
  </si>
  <si>
    <r>
      <t>FEE ( t CO</t>
    </r>
    <r>
      <rPr>
        <b/>
        <vertAlign val="subscript"/>
        <sz val="10"/>
        <rFont val="Arial"/>
        <family val="2"/>
      </rPr>
      <t>2</t>
    </r>
    <r>
      <rPr>
        <b/>
        <sz val="10"/>
        <rFont val="Arial"/>
        <family val="0"/>
      </rPr>
      <t xml:space="preserve"> eq./MWh ), 2001</t>
    </r>
  </si>
  <si>
    <t>US gals (PC)</t>
  </si>
  <si>
    <t>Imp. Gals (PC)</t>
  </si>
  <si>
    <t>E=((A/B)*(1-B)*D)+(A*D*(1-C))</t>
  </si>
  <si>
    <r>
      <t>Kg. CO</t>
    </r>
    <r>
      <rPr>
        <vertAlign val="subscript"/>
        <sz val="10"/>
        <rFont val="Arial"/>
        <family val="2"/>
      </rPr>
      <t>2</t>
    </r>
    <r>
      <rPr>
        <sz val="10"/>
        <rFont val="Arial"/>
        <family val="0"/>
      </rPr>
      <t xml:space="preserve"> equiv. / GJ</t>
    </r>
  </si>
  <si>
    <t>Direct Emissions - Stationary Fuel Combustion</t>
  </si>
  <si>
    <t>Auto calculated value:</t>
  </si>
  <si>
    <t>Source / fuel description</t>
  </si>
  <si>
    <t>Fuel use / emission factor values</t>
  </si>
  <si>
    <t>Physical units:</t>
  </si>
  <si>
    <t>Suggested default emission factors and "typical emission factors" shown belows</t>
  </si>
  <si>
    <t>DIRECT EMISSIONS - STATIONARY FUEL COMBUSTION</t>
  </si>
  <si>
    <t>Example: Source 1</t>
  </si>
  <si>
    <t>Natural gas</t>
  </si>
  <si>
    <t>Source description</t>
  </si>
  <si>
    <t>Fuel type</t>
  </si>
  <si>
    <t>Quantity of fuel burned</t>
  </si>
  <si>
    <t>liters</t>
  </si>
  <si>
    <t>metric tons</t>
  </si>
  <si>
    <r>
      <t>CO</t>
    </r>
    <r>
      <rPr>
        <vertAlign val="subscript"/>
        <sz val="10"/>
        <rFont val="Arial"/>
        <family val="2"/>
      </rPr>
      <t>2</t>
    </r>
    <r>
      <rPr>
        <sz val="10"/>
        <rFont val="Arial"/>
        <family val="0"/>
      </rPr>
      <t xml:space="preserve"> emission factor
Suggested default emission factors and "typical emission factors" shown below</t>
    </r>
  </si>
  <si>
    <t>LP Gas (L)</t>
  </si>
  <si>
    <t>Quantity of fuel burned (liters)</t>
  </si>
  <si>
    <r>
      <t>Liters (</t>
    </r>
    <r>
      <rPr>
        <sz val="10"/>
        <color indexed="10"/>
        <rFont val="Arial"/>
        <family val="2"/>
      </rPr>
      <t>except for natural gas:m</t>
    </r>
    <r>
      <rPr>
        <vertAlign val="superscript"/>
        <sz val="10"/>
        <color indexed="10"/>
        <rFont val="Arial"/>
        <family val="2"/>
      </rPr>
      <t>3</t>
    </r>
    <r>
      <rPr>
        <sz val="10"/>
        <color indexed="10"/>
        <rFont val="Arial"/>
        <family val="2"/>
      </rPr>
      <t xml:space="preserve"> and coal: ton</t>
    </r>
    <r>
      <rPr>
        <sz val="10"/>
        <rFont val="Arial"/>
        <family val="0"/>
      </rPr>
      <t>)</t>
    </r>
  </si>
  <si>
    <r>
      <t>Natural gas (m</t>
    </r>
    <r>
      <rPr>
        <vertAlign val="superscript"/>
        <sz val="10"/>
        <rFont val="Arial"/>
        <family val="2"/>
      </rPr>
      <t>3</t>
    </r>
    <r>
      <rPr>
        <sz val="10"/>
        <rFont val="Arial"/>
        <family val="0"/>
      </rPr>
      <t>)</t>
    </r>
  </si>
  <si>
    <r>
      <t>The CH4 and N</t>
    </r>
    <r>
      <rPr>
        <vertAlign val="subscript"/>
        <sz val="10"/>
        <rFont val="Arial"/>
        <family val="2"/>
      </rPr>
      <t>2</t>
    </r>
    <r>
      <rPr>
        <sz val="10"/>
        <rFont val="Arial"/>
        <family val="0"/>
      </rPr>
      <t>O emissions already were added in the top table as a CO</t>
    </r>
    <r>
      <rPr>
        <vertAlign val="subscript"/>
        <sz val="10"/>
        <rFont val="Arial"/>
        <family val="2"/>
      </rPr>
      <t>2</t>
    </r>
    <r>
      <rPr>
        <sz val="10"/>
        <rFont val="Arial"/>
        <family val="0"/>
      </rPr>
      <t xml:space="preserve"> equivalents</t>
    </r>
  </si>
  <si>
    <t>Look the down map</t>
  </si>
  <si>
    <t xml:space="preserve">*Adapted from Balance Nacional de Energía del 2003 </t>
  </si>
  <si>
    <r>
      <t>Unit of CO</t>
    </r>
    <r>
      <rPr>
        <vertAlign val="subscript"/>
        <sz val="10"/>
        <rFont val="Arial"/>
        <family val="2"/>
      </rPr>
      <t>2</t>
    </r>
    <r>
      <rPr>
        <sz val="10"/>
        <rFont val="Arial"/>
        <family val="0"/>
      </rPr>
      <t xml:space="preserve"> emission factor
[kg CO</t>
    </r>
    <r>
      <rPr>
        <vertAlign val="subscript"/>
        <sz val="10"/>
        <rFont val="Arial"/>
        <family val="2"/>
      </rPr>
      <t>2</t>
    </r>
    <r>
      <rPr>
        <sz val="10"/>
        <rFont val="Arial"/>
        <family val="0"/>
      </rPr>
      <t xml:space="preserve"> equiv. per unit of fuel]</t>
    </r>
  </si>
  <si>
    <r>
      <t>CO</t>
    </r>
    <r>
      <rPr>
        <vertAlign val="subscript"/>
        <sz val="10"/>
        <rFont val="Arial"/>
        <family val="2"/>
      </rPr>
      <t>2</t>
    </r>
    <r>
      <rPr>
        <sz val="10"/>
        <rFont val="Arial"/>
        <family val="0"/>
      </rPr>
      <t xml:space="preserve"> emissions in metric tons CO2 equiv.</t>
    </r>
  </si>
  <si>
    <t>Step 1</t>
  </si>
  <si>
    <t>Step 2</t>
  </si>
  <si>
    <t>Step 3</t>
  </si>
  <si>
    <t>Step7: GHG emissions from stationary fossil fuel combustion</t>
  </si>
  <si>
    <r>
      <t>metric tons CO</t>
    </r>
    <r>
      <rPr>
        <vertAlign val="subscript"/>
        <sz val="10"/>
        <rFont val="Arial"/>
        <family val="2"/>
      </rPr>
      <t>2</t>
    </r>
    <r>
      <rPr>
        <sz val="10"/>
        <rFont val="Arial"/>
        <family val="2"/>
      </rPr>
      <t xml:space="preserve"> equiv</t>
    </r>
  </si>
  <si>
    <t>Note: Under the WRI/WBCSD GHG Protocol, the direct emissions associated with stationary combustion should be reported in scope 1 as direct emissions from stationary sources.</t>
  </si>
  <si>
    <t>(Sources identified in pulp and paper calculation tools report)</t>
  </si>
  <si>
    <t xml:space="preserve">kg CO2 / metric tons fuel used </t>
  </si>
  <si>
    <r>
      <t>kg CO</t>
    </r>
    <r>
      <rPr>
        <b/>
        <vertAlign val="subscript"/>
        <sz val="10"/>
        <rFont val="Arial"/>
        <family val="2"/>
      </rPr>
      <t>2</t>
    </r>
    <r>
      <rPr>
        <b/>
        <sz val="10"/>
        <rFont val="Arial"/>
        <family val="2"/>
      </rPr>
      <t xml:space="preserve"> / short tons fuel used</t>
    </r>
  </si>
  <si>
    <r>
      <t>kg CO</t>
    </r>
    <r>
      <rPr>
        <b/>
        <vertAlign val="subscript"/>
        <sz val="10"/>
        <rFont val="Arial"/>
        <family val="2"/>
      </rPr>
      <t>2</t>
    </r>
    <r>
      <rPr>
        <b/>
        <sz val="10"/>
        <rFont val="Arial"/>
        <family val="2"/>
      </rPr>
      <t xml:space="preserve"> / litres fuel used</t>
    </r>
  </si>
  <si>
    <t>kg CO2 / gallons fuel used</t>
  </si>
  <si>
    <r>
      <t>kg CO</t>
    </r>
    <r>
      <rPr>
        <b/>
        <vertAlign val="subscript"/>
        <sz val="10"/>
        <rFont val="Arial"/>
        <family val="2"/>
      </rPr>
      <t>2</t>
    </r>
    <r>
      <rPr>
        <b/>
        <sz val="10"/>
        <rFont val="Arial"/>
        <family val="2"/>
      </rPr>
      <t xml:space="preserve"> / standard cubic meters fuel used</t>
    </r>
  </si>
  <si>
    <r>
      <t>kg CO</t>
    </r>
    <r>
      <rPr>
        <b/>
        <vertAlign val="subscript"/>
        <sz val="10"/>
        <rFont val="Arial"/>
        <family val="2"/>
      </rPr>
      <t>2</t>
    </r>
    <r>
      <rPr>
        <b/>
        <sz val="10"/>
        <rFont val="Arial"/>
        <family val="2"/>
      </rPr>
      <t xml:space="preserve"> / 1'000 standard cubic feet</t>
    </r>
  </si>
  <si>
    <r>
      <t>kg CO</t>
    </r>
    <r>
      <rPr>
        <b/>
        <vertAlign val="subscript"/>
        <sz val="10"/>
        <rFont val="Arial"/>
        <family val="2"/>
      </rPr>
      <t>2</t>
    </r>
    <r>
      <rPr>
        <b/>
        <sz val="10"/>
        <rFont val="Arial"/>
        <family val="2"/>
      </rPr>
      <t xml:space="preserve"> / GJ fuel used </t>
    </r>
  </si>
  <si>
    <r>
      <t>kg CO</t>
    </r>
    <r>
      <rPr>
        <b/>
        <vertAlign val="subscript"/>
        <sz val="10"/>
        <rFont val="Arial"/>
        <family val="2"/>
      </rPr>
      <t>2</t>
    </r>
    <r>
      <rPr>
        <b/>
        <sz val="10"/>
        <rFont val="Arial"/>
        <family val="2"/>
      </rPr>
      <t xml:space="preserve"> / million btu fuel used</t>
    </r>
  </si>
  <si>
    <r>
      <t>kg CO</t>
    </r>
    <r>
      <rPr>
        <b/>
        <vertAlign val="subscript"/>
        <sz val="10"/>
        <rFont val="Arial"/>
        <family val="2"/>
      </rPr>
      <t>2</t>
    </r>
    <r>
      <rPr>
        <b/>
        <sz val="10"/>
        <rFont val="Arial"/>
        <family val="2"/>
      </rPr>
      <t xml:space="preserve"> / MWh fuel used </t>
    </r>
  </si>
  <si>
    <r>
      <t>kg CO</t>
    </r>
    <r>
      <rPr>
        <b/>
        <vertAlign val="subscript"/>
        <sz val="10"/>
        <rFont val="Arial"/>
        <family val="2"/>
      </rPr>
      <t>2</t>
    </r>
    <r>
      <rPr>
        <b/>
        <sz val="10"/>
        <rFont val="Arial"/>
        <family val="2"/>
      </rPr>
      <t xml:space="preserve"> / GJ fuel used</t>
    </r>
  </si>
  <si>
    <r>
      <t>kg CO</t>
    </r>
    <r>
      <rPr>
        <b/>
        <vertAlign val="subscript"/>
        <sz val="10"/>
        <rFont val="Arial"/>
        <family val="2"/>
      </rPr>
      <t>2</t>
    </r>
    <r>
      <rPr>
        <b/>
        <sz val="10"/>
        <rFont val="Arial"/>
        <family val="2"/>
      </rPr>
      <t xml:space="preserve"> / million btu fuel used </t>
    </r>
  </si>
  <si>
    <t>Residual fuel oil (No.5, No.6 fuel oil)</t>
  </si>
  <si>
    <t>Residual fuel oil (No.5, No.6 fuel oil)
Calciners</t>
  </si>
  <si>
    <t>Residual fuel oil (No.5, No.6 fuel oil)
Lime kilns</t>
  </si>
  <si>
    <t>Anthracite</t>
  </si>
  <si>
    <t>Bituminous coal - Pulverized
Dry bottom, wall fired</t>
  </si>
  <si>
    <t>Bituminous coal - Pulverized
Dry bottom, tangential firing</t>
  </si>
  <si>
    <t>Bituminous coal - Pulverized
Wet bottom</t>
  </si>
  <si>
    <t>Bituminous coal
Overfeed stoker boiler</t>
  </si>
  <si>
    <t>Bituminous coal
Underfeed stoker boiler</t>
  </si>
  <si>
    <t>Bituminous coal - fluidized bed
Circulating or bubbling</t>
  </si>
  <si>
    <t>Bituminous coal
Spreader stoker boiler</t>
  </si>
  <si>
    <t>GJ</t>
  </si>
  <si>
    <r>
      <t>Kg N</t>
    </r>
    <r>
      <rPr>
        <vertAlign val="subscript"/>
        <sz val="10"/>
        <rFont val="Arial"/>
        <family val="2"/>
      </rPr>
      <t>2</t>
    </r>
    <r>
      <rPr>
        <sz val="10"/>
        <rFont val="Arial"/>
        <family val="0"/>
      </rPr>
      <t>O/ GJ fuel</t>
    </r>
  </si>
  <si>
    <r>
      <t>Kg CH</t>
    </r>
    <r>
      <rPr>
        <vertAlign val="subscript"/>
        <sz val="10"/>
        <rFont val="Arial"/>
        <family val="2"/>
      </rPr>
      <t>4</t>
    </r>
    <r>
      <rPr>
        <sz val="10"/>
        <rFont val="Arial"/>
        <family val="0"/>
      </rPr>
      <t>/ GJ fuel</t>
    </r>
  </si>
  <si>
    <t>F = (C * D)/1000</t>
  </si>
  <si>
    <t>G = (C *E) / 1000</t>
  </si>
  <si>
    <r>
      <t>Emission Factor for SO</t>
    </r>
    <r>
      <rPr>
        <vertAlign val="subscript"/>
        <sz val="10"/>
        <rFont val="Arial"/>
        <family val="2"/>
      </rPr>
      <t xml:space="preserve">2                        </t>
    </r>
    <r>
      <rPr>
        <sz val="10"/>
        <rFont val="Arial"/>
        <family val="2"/>
      </rPr>
      <t>(Kg SO</t>
    </r>
    <r>
      <rPr>
        <vertAlign val="subscript"/>
        <sz val="10"/>
        <rFont val="Arial"/>
        <family val="2"/>
      </rPr>
      <t>2</t>
    </r>
    <r>
      <rPr>
        <sz val="10"/>
        <rFont val="Arial"/>
        <family val="2"/>
      </rPr>
      <t>/GJ)</t>
    </r>
  </si>
  <si>
    <t>Fuel Consumption</t>
  </si>
  <si>
    <t>%</t>
  </si>
  <si>
    <t>GJ / Kg.</t>
  </si>
  <si>
    <t xml:space="preserve">Sulphur content of fuel </t>
  </si>
  <si>
    <t xml:space="preserve">Sulphur retention in ash </t>
  </si>
  <si>
    <t xml:space="preserve">Abatement Efficiency </t>
  </si>
  <si>
    <t xml:space="preserve">Net Calorific Value </t>
  </si>
  <si>
    <t>Quantity of fuel combusted (in the units that show the drop down menu)</t>
  </si>
  <si>
    <t>GJ/Unit</t>
  </si>
  <si>
    <t>Convertion Factor to GJ (Heating Value of the fuel)</t>
  </si>
  <si>
    <t>Type and number of vehicles</t>
  </si>
  <si>
    <t xml:space="preserve"> 20 Trucks</t>
  </si>
  <si>
    <t>Sub-bituminous coal
Overfeed stoker boiler</t>
  </si>
  <si>
    <t>Sub-bituminous coal
Underfeed stoker boiler</t>
  </si>
  <si>
    <t>Sub-bituminous coal - fluidized bed
Circulating or bubbling</t>
  </si>
  <si>
    <t>Petroleum coke</t>
  </si>
  <si>
    <t>Distillate fuel 
(No.1, No.2, No.4 fuel oil and diesel)
Calciners</t>
  </si>
  <si>
    <t>Distillate fuel 
(No.1, No.2, No.4 fuel oil and diesel)
Mobile sources</t>
  </si>
  <si>
    <t>Distillate fuel 
(No.1, No.2, No.4 fuel oil and diesel)
Stationary sources except lime kilns and calciners</t>
  </si>
  <si>
    <t>Distillate fuel 
(No.1, No.2, No.4 fuel oil and diesel)
Lime kilns</t>
  </si>
  <si>
    <t>LPG</t>
  </si>
  <si>
    <t>Natural Gas (m3) - calciners</t>
  </si>
  <si>
    <t>Natural gas (dry) - boilers and IR dryers</t>
  </si>
  <si>
    <t>Natural gas (dry) - lime kiln</t>
  </si>
  <si>
    <t>Natural gas (dry) - Int. Comb. Engine
4 - cycle rich burn</t>
  </si>
  <si>
    <t>Natural gas (dry) - Int. Comb. Engine
4 - cycle lean burn</t>
  </si>
  <si>
    <t>Natural gas (dry) - turbines</t>
  </si>
  <si>
    <t>Gasoline / petrol 
Mobile 2-stroke engines, general</t>
  </si>
  <si>
    <t>Natural gas (dry) - Int. Comb. Engine
2 - cycle lean burn</t>
  </si>
  <si>
    <t>Gasoline / petrol 
Mobile 2-stroke engines, forestry</t>
  </si>
  <si>
    <t>Gasoline / petrol 
Mobile 4-stroke engines</t>
  </si>
  <si>
    <t>Propane**</t>
  </si>
  <si>
    <t>Kerosene</t>
  </si>
  <si>
    <t>Lubricants**</t>
  </si>
  <si>
    <t xml:space="preserve">  Typical emission factors (based in Lower Heating Values) **</t>
  </si>
  <si>
    <t>** Not corrected for unoxidized carbon</t>
  </si>
  <si>
    <t>Sources</t>
  </si>
  <si>
    <t>Emission factors based on higher heating values from EIA, 2001, Appendix B, if not otherwise indicated</t>
  </si>
  <si>
    <t>Emission factors based on lower heating values from IPCC, 1999, Volume 2, Section 1, if not otherwise indicated</t>
  </si>
  <si>
    <t>Emission factors based on volumetric or mass units from EIA, 2001, Appendix B, if not otherwise indicated</t>
  </si>
  <si>
    <t>Other sources used:</t>
  </si>
  <si>
    <t>Kg.</t>
  </si>
  <si>
    <r>
      <t>Total emisiones de SO</t>
    </r>
    <r>
      <rPr>
        <vertAlign val="subscript"/>
        <sz val="10"/>
        <rFont val="Arial"/>
        <family val="2"/>
      </rPr>
      <t>2</t>
    </r>
  </si>
  <si>
    <r>
      <t>Kg. CO</t>
    </r>
    <r>
      <rPr>
        <vertAlign val="subscript"/>
        <sz val="9"/>
        <rFont val="Arial"/>
        <family val="2"/>
      </rPr>
      <t>2</t>
    </r>
    <r>
      <rPr>
        <sz val="9"/>
        <rFont val="Arial"/>
        <family val="2"/>
      </rPr>
      <t>/GJ</t>
    </r>
  </si>
  <si>
    <t>0.02860 GJ/Kg.</t>
  </si>
  <si>
    <t>0.03023 GJ/Kg.</t>
  </si>
  <si>
    <r>
      <t>kg CO</t>
    </r>
    <r>
      <rPr>
        <b/>
        <vertAlign val="subscript"/>
        <sz val="10"/>
        <rFont val="Arial"/>
        <family val="2"/>
      </rPr>
      <t>2</t>
    </r>
    <r>
      <rPr>
        <b/>
        <sz val="10"/>
        <rFont val="Arial"/>
        <family val="2"/>
      </rPr>
      <t xml:space="preserve"> / GJ fuel used (based on lower heating values)</t>
    </r>
  </si>
  <si>
    <r>
      <t>kg CO</t>
    </r>
    <r>
      <rPr>
        <b/>
        <vertAlign val="subscript"/>
        <sz val="10"/>
        <rFont val="Arial"/>
        <family val="2"/>
      </rPr>
      <t>2</t>
    </r>
    <r>
      <rPr>
        <b/>
        <sz val="10"/>
        <rFont val="Arial"/>
        <family val="2"/>
      </rPr>
      <t xml:space="preserve"> / million btu fuel used (based on lower heating values)</t>
    </r>
  </si>
  <si>
    <r>
      <t>kg CO</t>
    </r>
    <r>
      <rPr>
        <b/>
        <vertAlign val="subscript"/>
        <sz val="10"/>
        <rFont val="Arial"/>
        <family val="2"/>
      </rPr>
      <t>2</t>
    </r>
    <r>
      <rPr>
        <b/>
        <sz val="10"/>
        <rFont val="Arial"/>
        <family val="2"/>
      </rPr>
      <t xml:space="preserve"> / MWh fuel used (based on lower heating values)</t>
    </r>
  </si>
  <si>
    <r>
      <t>kg CO</t>
    </r>
    <r>
      <rPr>
        <b/>
        <vertAlign val="subscript"/>
        <sz val="10"/>
        <rFont val="Arial"/>
        <family val="2"/>
      </rPr>
      <t>2</t>
    </r>
    <r>
      <rPr>
        <b/>
        <sz val="10"/>
        <rFont val="Arial"/>
        <family val="2"/>
      </rPr>
      <t xml:space="preserve"> / GJ fuel used (based on higher heating values)</t>
    </r>
  </si>
  <si>
    <r>
      <t>kg CO</t>
    </r>
    <r>
      <rPr>
        <b/>
        <vertAlign val="subscript"/>
        <sz val="10"/>
        <rFont val="Arial"/>
        <family val="2"/>
      </rPr>
      <t>2</t>
    </r>
    <r>
      <rPr>
        <b/>
        <sz val="10"/>
        <rFont val="Arial"/>
        <family val="2"/>
      </rPr>
      <t xml:space="preserve"> / million btu fuel used (based on higher heating values)</t>
    </r>
  </si>
  <si>
    <r>
      <t>kg CO</t>
    </r>
    <r>
      <rPr>
        <b/>
        <vertAlign val="subscript"/>
        <sz val="10"/>
        <rFont val="Arial"/>
        <family val="2"/>
      </rPr>
      <t>2</t>
    </r>
    <r>
      <rPr>
        <b/>
        <sz val="10"/>
        <rFont val="Arial"/>
        <family val="2"/>
      </rPr>
      <t xml:space="preserve"> / MWh fuel used (based on higher heating values)</t>
    </r>
  </si>
  <si>
    <t xml:space="preserve">Factors in next 7 lines are based on </t>
  </si>
  <si>
    <t>Table C-10, US EPA</t>
  </si>
  <si>
    <t>Miles per gallon for typical vehicles, EPA/USA</t>
  </si>
  <si>
    <r>
      <t>gram CO</t>
    </r>
    <r>
      <rPr>
        <vertAlign val="subscript"/>
        <sz val="9"/>
        <rFont val="Arial"/>
        <family val="2"/>
      </rPr>
      <t>2</t>
    </r>
    <r>
      <rPr>
        <sz val="9"/>
        <rFont val="Arial"/>
        <family val="2"/>
      </rPr>
      <t xml:space="preserve"> / Km.</t>
    </r>
  </si>
  <si>
    <t xml:space="preserve">Method 2.  Emissions Calculated from Distance Traveled, All Modes of Transport </t>
  </si>
  <si>
    <t xml:space="preserve">Method 3.  Emissions Associated with Mobile Equipment Based on Fuel Consumption </t>
  </si>
  <si>
    <t>DIRECT EMISSIONS - WASTE MANAGMENT</t>
  </si>
  <si>
    <t>Methane emissions from mill-owned anaerobic wastewater 
treatment or sludge digestion systems</t>
  </si>
  <si>
    <t>Method 1 - For anaerobic wastewater treatment and sludge digestion systems where gas is collected</t>
  </si>
  <si>
    <t>NOTE: If the gas collection system is highly efficient and all gas is burned, the direct GHG emissions can be assumed to be zero.</t>
  </si>
  <si>
    <t>Quantity of gas collected
[dry standard cubic meters/yr]</t>
  </si>
  <si>
    <t>Efficiency of gas collection system
[default = 1.0]</t>
  </si>
  <si>
    <t>Fraction of collected gas that is burned
[default = 1.0]</t>
  </si>
  <si>
    <t>Methane content of gas
[default = 0.5]</t>
  </si>
  <si>
    <t>Quantity of methane released
[dry standard cubic meters/yr]</t>
  </si>
  <si>
    <t xml:space="preserve">Methane emissions in metric tons </t>
  </si>
  <si>
    <t>F = E * [ 0.72 kg / standard cubic meter ] / 1000</t>
  </si>
  <si>
    <r>
      <t>Methane emissions in metric tons CO</t>
    </r>
    <r>
      <rPr>
        <vertAlign val="subscript"/>
        <sz val="10"/>
        <rFont val="Arial"/>
        <family val="2"/>
      </rPr>
      <t>2</t>
    </r>
    <r>
      <rPr>
        <sz val="10"/>
        <rFont val="Arial"/>
        <family val="0"/>
      </rPr>
      <t xml:space="preserve"> equivalents </t>
    </r>
  </si>
  <si>
    <t>Example: System A</t>
  </si>
  <si>
    <t>Anaerobic treatment system</t>
  </si>
  <si>
    <t>System description</t>
  </si>
  <si>
    <t>Waste type</t>
  </si>
  <si>
    <t xml:space="preserve">Step 2: Sum anaerobic wastewater or sludge treatment methane emissions from Method 1: </t>
  </si>
  <si>
    <r>
      <t>metrics tons CH</t>
    </r>
    <r>
      <rPr>
        <vertAlign val="subscript"/>
        <sz val="10"/>
        <rFont val="Arial"/>
        <family val="2"/>
      </rPr>
      <t>4</t>
    </r>
  </si>
  <si>
    <t>Amount of kilometers</t>
  </si>
  <si>
    <t>Amount of miles</t>
  </si>
  <si>
    <r>
      <t>kg CO</t>
    </r>
    <r>
      <rPr>
        <b/>
        <vertAlign val="subscript"/>
        <sz val="9"/>
        <rFont val="Arial"/>
        <family val="2"/>
      </rPr>
      <t>2</t>
    </r>
    <r>
      <rPr>
        <b/>
        <sz val="9"/>
        <rFont val="Arial"/>
        <family val="2"/>
      </rPr>
      <t xml:space="preserve"> per unit</t>
    </r>
  </si>
  <si>
    <r>
      <t>CO</t>
    </r>
    <r>
      <rPr>
        <vertAlign val="subscript"/>
        <sz val="10"/>
        <rFont val="Arial"/>
        <family val="2"/>
      </rPr>
      <t>2</t>
    </r>
    <r>
      <rPr>
        <sz val="10"/>
        <rFont val="Arial"/>
        <family val="0"/>
      </rPr>
      <t xml:space="preserve"> Emission Factor suggested  </t>
    </r>
  </si>
  <si>
    <r>
      <t>Kg. CO</t>
    </r>
    <r>
      <rPr>
        <vertAlign val="subscript"/>
        <sz val="10"/>
        <rFont val="Arial"/>
        <family val="2"/>
      </rPr>
      <t>2</t>
    </r>
    <r>
      <rPr>
        <sz val="10"/>
        <rFont val="Arial"/>
        <family val="0"/>
      </rPr>
      <t>/GJ</t>
    </r>
  </si>
  <si>
    <r>
      <t>metric tons CO</t>
    </r>
    <r>
      <rPr>
        <vertAlign val="subscript"/>
        <sz val="10"/>
        <rFont val="Arial"/>
        <family val="2"/>
      </rPr>
      <t>2</t>
    </r>
    <r>
      <rPr>
        <sz val="10"/>
        <rFont val="Arial"/>
        <family val="2"/>
      </rPr>
      <t xml:space="preserve"> equiv.</t>
    </r>
  </si>
  <si>
    <t xml:space="preserve">H = A*C*D* [1.84Kg./m3] / 1000 </t>
  </si>
  <si>
    <t>DIRECT EMISSIONS - EMISSIONS FROM MAKE -UP CARBONATES</t>
  </si>
  <si>
    <t>Step 6</t>
  </si>
  <si>
    <t>Step 7</t>
  </si>
  <si>
    <t>Step 8</t>
  </si>
  <si>
    <t>Step 9</t>
  </si>
  <si>
    <t>Step 10</t>
  </si>
  <si>
    <t>Step 11</t>
  </si>
  <si>
    <t>Step 12</t>
  </si>
  <si>
    <t>Export power:</t>
  </si>
  <si>
    <t>Purch steam:</t>
  </si>
  <si>
    <t>2.205 pound (lb)</t>
  </si>
  <si>
    <t>2,000 pound (lb)</t>
  </si>
  <si>
    <t>2,205 pounds (lb)</t>
  </si>
  <si>
    <t>1 atmosphere (atm)</t>
  </si>
  <si>
    <t>Tons</t>
  </si>
  <si>
    <t>GJ / Ton</t>
  </si>
  <si>
    <t>CO2 emission factor [default values are listed in the table below:</t>
  </si>
  <si>
    <r>
      <t>CH</t>
    </r>
    <r>
      <rPr>
        <vertAlign val="subscript"/>
        <sz val="12"/>
        <rFont val="Arial"/>
        <family val="2"/>
      </rPr>
      <t>4</t>
    </r>
    <r>
      <rPr>
        <sz val="12"/>
        <rFont val="Arial"/>
        <family val="2"/>
      </rPr>
      <t xml:space="preserve"> Emissions</t>
    </r>
  </si>
  <si>
    <r>
      <t>N</t>
    </r>
    <r>
      <rPr>
        <vertAlign val="subscript"/>
        <sz val="12"/>
        <rFont val="Arial"/>
        <family val="2"/>
      </rPr>
      <t>2</t>
    </r>
    <r>
      <rPr>
        <sz val="12"/>
        <rFont val="Arial"/>
        <family val="0"/>
      </rPr>
      <t>O Emissions</t>
    </r>
  </si>
  <si>
    <r>
      <t>SO</t>
    </r>
    <r>
      <rPr>
        <vertAlign val="subscript"/>
        <sz val="12"/>
        <rFont val="Arial"/>
        <family val="2"/>
      </rPr>
      <t xml:space="preserve">2 </t>
    </r>
    <r>
      <rPr>
        <sz val="12"/>
        <rFont val="Arial"/>
        <family val="2"/>
      </rPr>
      <t>Emissions</t>
    </r>
  </si>
  <si>
    <t xml:space="preserve"> (in the units that show the drop down menu)</t>
  </si>
  <si>
    <t xml:space="preserve">Quantity of fuel burned </t>
  </si>
  <si>
    <r>
      <t>kg CO</t>
    </r>
    <r>
      <rPr>
        <b/>
        <vertAlign val="subscript"/>
        <sz val="10"/>
        <rFont val="Arial"/>
        <family val="2"/>
      </rPr>
      <t>2</t>
    </r>
    <r>
      <rPr>
        <b/>
        <sz val="10"/>
        <rFont val="Arial"/>
        <family val="2"/>
      </rPr>
      <t xml:space="preserve"> / GJ fuel*
</t>
    </r>
  </si>
  <si>
    <r>
      <t>kg CH</t>
    </r>
    <r>
      <rPr>
        <b/>
        <vertAlign val="subscript"/>
        <sz val="10"/>
        <rFont val="Arial"/>
        <family val="2"/>
      </rPr>
      <t>4</t>
    </r>
    <r>
      <rPr>
        <b/>
        <sz val="10"/>
        <rFont val="Arial"/>
        <family val="2"/>
      </rPr>
      <t xml:space="preserve"> / GJ fuel 
</t>
    </r>
  </si>
  <si>
    <r>
      <t>kg N</t>
    </r>
    <r>
      <rPr>
        <b/>
        <vertAlign val="subscript"/>
        <sz val="10"/>
        <rFont val="Arial"/>
        <family val="2"/>
      </rPr>
      <t>2</t>
    </r>
    <r>
      <rPr>
        <b/>
        <sz val="10"/>
        <rFont val="Arial"/>
        <family val="2"/>
      </rPr>
      <t xml:space="preserve">O / GJ fuel 
</t>
    </r>
  </si>
  <si>
    <r>
      <t>kg CO</t>
    </r>
    <r>
      <rPr>
        <b/>
        <vertAlign val="subscript"/>
        <sz val="10"/>
        <rFont val="Arial"/>
        <family val="2"/>
      </rPr>
      <t>2</t>
    </r>
    <r>
      <rPr>
        <b/>
        <sz val="10"/>
        <rFont val="Arial"/>
        <family val="2"/>
      </rPr>
      <t xml:space="preserve"> equiv. / GJ fuel*
</t>
    </r>
  </si>
  <si>
    <r>
      <t>kg CO</t>
    </r>
    <r>
      <rPr>
        <b/>
        <vertAlign val="subscript"/>
        <sz val="10"/>
        <rFont val="Arial"/>
        <family val="2"/>
      </rPr>
      <t>2</t>
    </r>
    <r>
      <rPr>
        <b/>
        <sz val="10"/>
        <rFont val="Arial"/>
        <family val="2"/>
      </rPr>
      <t xml:space="preserve"> / metric tons fuel used </t>
    </r>
  </si>
  <si>
    <r>
      <t>kg CO</t>
    </r>
    <r>
      <rPr>
        <b/>
        <vertAlign val="subscript"/>
        <sz val="10"/>
        <rFont val="Arial"/>
        <family val="2"/>
      </rPr>
      <t>2</t>
    </r>
    <r>
      <rPr>
        <b/>
        <sz val="10"/>
        <rFont val="Arial"/>
        <family val="2"/>
      </rPr>
      <t xml:space="preserve"> / gallons fuel used</t>
    </r>
  </si>
  <si>
    <r>
      <t>CO</t>
    </r>
    <r>
      <rPr>
        <vertAlign val="subscript"/>
        <sz val="10"/>
        <rFont val="Arial"/>
        <family val="2"/>
      </rPr>
      <t>2</t>
    </r>
    <r>
      <rPr>
        <sz val="10"/>
        <rFont val="Arial"/>
        <family val="0"/>
      </rPr>
      <t xml:space="preserve"> emissions in kg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</si>
  <si>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in metric tons CO</t>
    </r>
    <r>
      <rPr>
        <vertAlign val="subscript"/>
        <sz val="10"/>
        <rFont val="Arial"/>
        <family val="2"/>
      </rPr>
      <t>2</t>
    </r>
    <r>
      <rPr>
        <sz val="10"/>
        <rFont val="Arial"/>
        <family val="0"/>
      </rPr>
      <t xml:space="preserve"> equiv.</t>
    </r>
  </si>
  <si>
    <r>
      <t>Note: Where mills are exporting CO</t>
    </r>
    <r>
      <rPr>
        <vertAlign val="subscript"/>
        <sz val="12"/>
        <rFont val="Arial"/>
        <family val="2"/>
      </rPr>
      <t>2</t>
    </r>
    <r>
      <rPr>
        <sz val="12"/>
        <rFont val="Arial"/>
        <family val="2"/>
      </rPr>
      <t xml:space="preserve"> to precipitated calcium carbonate (PCC) plants, these exports are not considered emissions.  Amounts of exported CO</t>
    </r>
    <r>
      <rPr>
        <vertAlign val="subscript"/>
        <sz val="12"/>
        <rFont val="Arial"/>
        <family val="2"/>
      </rPr>
      <t>2</t>
    </r>
    <r>
      <rPr>
        <sz val="12"/>
        <rFont val="Arial"/>
        <family val="2"/>
      </rPr>
      <t xml:space="preserve"> are calculated in the sheet for "CO</t>
    </r>
    <r>
      <rPr>
        <vertAlign val="subscript"/>
        <sz val="12"/>
        <rFont val="Arial"/>
        <family val="2"/>
      </rPr>
      <t>2</t>
    </r>
    <r>
      <rPr>
        <sz val="12"/>
        <rFont val="Arial"/>
        <family val="2"/>
      </rPr>
      <t xml:space="preserve"> Imports and Exports."  On the "Direct - Fuel Combustion" sheet (this sheet), the amounts of exported CO</t>
    </r>
    <r>
      <rPr>
        <vertAlign val="subscript"/>
        <sz val="12"/>
        <rFont val="Arial"/>
        <family val="2"/>
      </rPr>
      <t>2</t>
    </r>
    <r>
      <rPr>
        <sz val="12"/>
        <rFont val="Arial"/>
        <family val="2"/>
      </rPr>
      <t xml:space="preserve"> are automatically subtracted from the sum of direct emissions from stationary fossil fuel combustion.  </t>
    </r>
  </si>
  <si>
    <t>Sum of emissions from anaerobic wastewater treatment and sludge digestion systems &gt;&gt;</t>
  </si>
  <si>
    <t xml:space="preserve">Sum anaerobic wastewater or sludge treatment methane emissions from Methods 1 and 2: </t>
  </si>
  <si>
    <r>
      <t>Sum anaerobic wastewater or sludge treatment CO</t>
    </r>
    <r>
      <rPr>
        <b/>
        <vertAlign val="subscript"/>
        <sz val="10"/>
        <rFont val="Arial"/>
        <family val="2"/>
      </rPr>
      <t>2</t>
    </r>
    <r>
      <rPr>
        <b/>
        <sz val="10"/>
        <rFont val="Arial"/>
        <family val="2"/>
      </rPr>
      <t xml:space="preserve"> equiv. emissions from Methods 1 and 2: </t>
    </r>
  </si>
  <si>
    <t xml:space="preserve">Step 2: Sum anaerobic wastewater or sludge treatment methane emissions from Method 2: </t>
  </si>
  <si>
    <t>Method 2 - For anaerobic wastewater treatment and sludge digestion systems where gas is NOT collected or the collection efficiency is not known.</t>
  </si>
  <si>
    <t>Amount of organic matter sent to treatment per year
[kg BOD or COD per year]</t>
  </si>
  <si>
    <t>Methane emission factor
[default for mill wastes = 0.25 kg methane per kg COD in the feed or
0.60 kg methane per kg BOD in the feed.
Units must match column A]</t>
  </si>
  <si>
    <t>Amount of methane captured and burned
[kg methane / yr]</t>
  </si>
  <si>
    <t>Quantity of methane released
[kg methane / yr]</t>
  </si>
  <si>
    <t>Example: System B</t>
  </si>
  <si>
    <t>These spreadsheets include significant amounts of material copied from other WRI and WBCSD calculation tools. 
 Intellectual property rights of the WRI and WBCSD calculation tools belong to WRI and WBCSD, unless stated otherwise</t>
  </si>
  <si>
    <t xml:space="preserve">Direct Emissions - Emissions from Make-up carbonates used in the pulp mill* </t>
  </si>
  <si>
    <t>Chemical</t>
  </si>
  <si>
    <t>Amount used in the pulp mill
[metric tons/year]</t>
  </si>
  <si>
    <r>
      <t>Emission factor
[kg CO</t>
    </r>
    <r>
      <rPr>
        <vertAlign val="subscript"/>
        <sz val="10"/>
        <rFont val="Arial"/>
        <family val="2"/>
      </rPr>
      <t>2</t>
    </r>
    <r>
      <rPr>
        <sz val="10"/>
        <rFont val="Arial"/>
        <family val="0"/>
      </rPr>
      <t xml:space="preserve"> per kg chemical]</t>
    </r>
  </si>
  <si>
    <r>
      <t>CO</t>
    </r>
    <r>
      <rPr>
        <vertAlign val="subscript"/>
        <sz val="10"/>
        <rFont val="Arial"/>
        <family val="2"/>
      </rPr>
      <t>2</t>
    </r>
    <r>
      <rPr>
        <sz val="10"/>
        <rFont val="Arial"/>
        <family val="0"/>
      </rPr>
      <t xml:space="preserve"> Emissions
[metric tons CO</t>
    </r>
    <r>
      <rPr>
        <vertAlign val="subscript"/>
        <sz val="10"/>
        <rFont val="Arial"/>
        <family val="2"/>
      </rPr>
      <t>2</t>
    </r>
    <r>
      <rPr>
        <sz val="10"/>
        <rFont val="Arial"/>
        <family val="0"/>
      </rPr>
      <t xml:space="preserve"> per year]</t>
    </r>
  </si>
  <si>
    <t>Sodium Carbonate</t>
  </si>
  <si>
    <t>Calcium Carbonate*</t>
  </si>
  <si>
    <r>
      <t>Total CO</t>
    </r>
    <r>
      <rPr>
        <vertAlign val="subscript"/>
        <sz val="10"/>
        <rFont val="Arial"/>
        <family val="2"/>
      </rPr>
      <t>2</t>
    </r>
    <r>
      <rPr>
        <sz val="10"/>
        <rFont val="Arial"/>
        <family val="0"/>
      </rPr>
      <t xml:space="preserve"> from Make-up=</t>
    </r>
  </si>
  <si>
    <t>Allocation of unit combustion from the PCC plant</t>
  </si>
  <si>
    <t>Generator</t>
  </si>
  <si>
    <r>
      <t>*It is important to note that the calcium make-up is required because of losses from the causticizing area, most of which are in the form of calcium carbonate.  This lost material is usually landfilled, thereby sequestering the carbon contained in the calcium carbonate.  Because the default method in these calculation tools does not consider this loss of carbon from the system, the estimated CO</t>
    </r>
    <r>
      <rPr>
        <vertAlign val="subscript"/>
        <sz val="11"/>
        <rFont val="Arial"/>
        <family val="2"/>
      </rPr>
      <t>2</t>
    </r>
    <r>
      <rPr>
        <sz val="11"/>
        <rFont val="Arial"/>
        <family val="2"/>
      </rPr>
      <t xml:space="preserve"> emissions from make-up calcium carbonate will be higher than actual emissions.  Where these emissions are significant, companies may want to perform the more detailed analyses required to correct the emissions estimates to account for the carbon that leaves the causticizing area in calcium carbonate.  </t>
    </r>
  </si>
  <si>
    <t xml:space="preserve"> Allocating emissions based on the efficiency of heat and power production</t>
  </si>
  <si>
    <t>COMBINED HEAT AND POWER</t>
  </si>
  <si>
    <t>Combined heat and power: Allocating emissions based on the efficiency of heat and power production</t>
  </si>
  <si>
    <t>Note: If a facility is using all of the energy outputs of a CHP system, there is no need to allocate the emissions.</t>
  </si>
  <si>
    <r>
      <t xml:space="preserve">Simplified Efficiency Method: 
</t>
    </r>
    <r>
      <rPr>
        <sz val="10"/>
        <rFont val="Arial"/>
        <family val="2"/>
      </rPr>
      <t>Allocation based on assumed efficiencies for both steam and power production and total CHP emissions</t>
    </r>
  </si>
  <si>
    <t>H  Heat output (district heat, process heat, other steam)</t>
  </si>
  <si>
    <t>P  Power output</t>
  </si>
  <si>
    <t>T Total Fuel input</t>
  </si>
  <si>
    <t>Energy Unit used
in A, B, and C</t>
  </si>
  <si>
    <t>Recovering pulp from the cardboard and the paper by chemical methods</t>
  </si>
  <si>
    <t>Residual fuel oil No.5 and 6 (L)</t>
  </si>
  <si>
    <t>Residual fuel oil No.5 and 6 (L)
Calciners</t>
  </si>
  <si>
    <r>
      <t>E</t>
    </r>
    <r>
      <rPr>
        <vertAlign val="subscript"/>
        <sz val="10"/>
        <rFont val="Arial"/>
        <family val="2"/>
      </rPr>
      <t>T</t>
    </r>
    <r>
      <rPr>
        <sz val="10"/>
        <rFont val="Arial"/>
        <family val="0"/>
      </rPr>
      <t xml:space="preserve">  Total direct emissions from CHP facility</t>
    </r>
  </si>
  <si>
    <r>
      <t>Allowed input values for ratio of heat production efficiency to power production efficiency, e</t>
    </r>
    <r>
      <rPr>
        <vertAlign val="subscript"/>
        <sz val="10"/>
        <rFont val="Arial"/>
        <family val="2"/>
      </rPr>
      <t>h</t>
    </r>
    <r>
      <rPr>
        <sz val="10"/>
        <rFont val="Arial"/>
        <family val="0"/>
      </rPr>
      <t>/e</t>
    </r>
    <r>
      <rPr>
        <vertAlign val="subscript"/>
        <sz val="10"/>
        <rFont val="Arial"/>
        <family val="2"/>
      </rPr>
      <t>p</t>
    </r>
  </si>
  <si>
    <t>Assigned ratio of efficiencies</t>
  </si>
  <si>
    <r>
      <t>e</t>
    </r>
    <r>
      <rPr>
        <vertAlign val="subscript"/>
        <sz val="10"/>
        <rFont val="Arial"/>
        <family val="2"/>
      </rPr>
      <t>p</t>
    </r>
    <r>
      <rPr>
        <sz val="10"/>
        <rFont val="Arial"/>
        <family val="0"/>
      </rPr>
      <t xml:space="preserve">  (efficiency of typical power production)</t>
    </r>
  </si>
  <si>
    <r>
      <t>e</t>
    </r>
    <r>
      <rPr>
        <vertAlign val="subscript"/>
        <sz val="10"/>
        <rFont val="Arial"/>
        <family val="2"/>
      </rPr>
      <t>h</t>
    </r>
    <r>
      <rPr>
        <sz val="10"/>
        <rFont val="Arial"/>
        <family val="0"/>
      </rPr>
      <t xml:space="preserve">  (efficiency of typical heat production)</t>
    </r>
  </si>
  <si>
    <r>
      <t>E</t>
    </r>
    <r>
      <rPr>
        <vertAlign val="subscript"/>
        <sz val="10"/>
        <rFont val="Arial"/>
        <family val="2"/>
      </rPr>
      <t>H</t>
    </r>
    <r>
      <rPr>
        <sz val="10"/>
        <rFont val="Arial"/>
        <family val="0"/>
      </rPr>
      <t xml:space="preserve">  Emissions share allocated to heat production</t>
    </r>
  </si>
  <si>
    <r>
      <t>E</t>
    </r>
    <r>
      <rPr>
        <vertAlign val="subscript"/>
        <sz val="10"/>
        <rFont val="Arial"/>
        <family val="2"/>
      </rPr>
      <t>P</t>
    </r>
    <r>
      <rPr>
        <sz val="10"/>
        <rFont val="Arial"/>
        <family val="0"/>
      </rPr>
      <t xml:space="preserve">  Emissions share allocated to electricity production</t>
    </r>
  </si>
  <si>
    <t>Emission factor for heat production</t>
  </si>
  <si>
    <t>Emission factor for electricity production</t>
  </si>
  <si>
    <t>Use methods outlined in "Direct - Fuel Combust."</t>
  </si>
  <si>
    <t>Minimum ratio allowed by energy balance</t>
  </si>
  <si>
    <t>Maximum ratio allowed by energy balance</t>
  </si>
  <si>
    <t>Efficiency of heat production divided by efficiency of power production (the WRI/WBCSD GHG Protocol assumes a ratio of 0.8/.35=2.29)</t>
  </si>
  <si>
    <r>
      <t>kg CO</t>
    </r>
    <r>
      <rPr>
        <vertAlign val="subscript"/>
        <sz val="10"/>
        <rFont val="Arial"/>
        <family val="2"/>
      </rPr>
      <t>2</t>
    </r>
    <r>
      <rPr>
        <sz val="10"/>
        <rFont val="Arial"/>
        <family val="0"/>
      </rPr>
      <t xml:space="preserve"> / energy unit in D</t>
    </r>
  </si>
  <si>
    <r>
      <t>metric tons CO</t>
    </r>
    <r>
      <rPr>
        <vertAlign val="subscript"/>
        <sz val="10"/>
        <rFont val="Arial"/>
        <family val="2"/>
      </rPr>
      <t>2</t>
    </r>
    <r>
      <rPr>
        <sz val="10"/>
        <rFont val="Arial"/>
        <family val="0"/>
      </rPr>
      <t xml:space="preserve"> equiv.</t>
    </r>
  </si>
  <si>
    <t>(GJ, BTU or kWh)</t>
  </si>
  <si>
    <t>(same unit as in column A)</t>
  </si>
  <si>
    <t>Example</t>
  </si>
  <si>
    <r>
      <t>Fossil fuel-derived CO</t>
    </r>
    <r>
      <rPr>
        <b/>
        <vertAlign val="subscript"/>
        <sz val="12"/>
        <rFont val="Arial"/>
        <family val="2"/>
      </rPr>
      <t>2</t>
    </r>
    <r>
      <rPr>
        <b/>
        <sz val="12"/>
        <rFont val="Arial"/>
        <family val="2"/>
      </rPr>
      <t xml:space="preserve"> exported to satellite Precipitated Calcium Carbonate (PCC) plants</t>
    </r>
  </si>
  <si>
    <r>
      <t>Step 5: Sum of GHG emissions of CH</t>
    </r>
    <r>
      <rPr>
        <b/>
        <vertAlign val="subscript"/>
        <sz val="10"/>
        <rFont val="Arial"/>
        <family val="2"/>
      </rPr>
      <t>4</t>
    </r>
    <r>
      <rPr>
        <b/>
        <sz val="10"/>
        <rFont val="Arial"/>
        <family val="2"/>
      </rPr>
      <t xml:space="preserve"> and N</t>
    </r>
    <r>
      <rPr>
        <b/>
        <vertAlign val="subscript"/>
        <sz val="10"/>
        <rFont val="Arial"/>
        <family val="2"/>
      </rPr>
      <t>2</t>
    </r>
    <r>
      <rPr>
        <b/>
        <sz val="10"/>
        <rFont val="Arial"/>
        <family val="2"/>
      </rPr>
      <t>O in CO</t>
    </r>
    <r>
      <rPr>
        <b/>
        <vertAlign val="subscript"/>
        <sz val="10"/>
        <rFont val="Arial"/>
        <family val="2"/>
      </rPr>
      <t>2</t>
    </r>
    <r>
      <rPr>
        <b/>
        <sz val="10"/>
        <rFont val="Arial"/>
        <family val="2"/>
      </rPr>
      <t xml:space="preserve"> eq.
(calculated In "Directs CH</t>
    </r>
    <r>
      <rPr>
        <b/>
        <vertAlign val="subscript"/>
        <sz val="10"/>
        <rFont val="Arial"/>
        <family val="2"/>
      </rPr>
      <t>4</t>
    </r>
    <r>
      <rPr>
        <b/>
        <sz val="10"/>
        <rFont val="Arial"/>
        <family val="2"/>
      </rPr>
      <t xml:space="preserve"> and N</t>
    </r>
    <r>
      <rPr>
        <b/>
        <vertAlign val="subscript"/>
        <sz val="10"/>
        <rFont val="Arial"/>
        <family val="2"/>
      </rPr>
      <t>2</t>
    </r>
    <r>
      <rPr>
        <b/>
        <sz val="10"/>
        <rFont val="Arial"/>
        <family val="2"/>
      </rPr>
      <t>O")</t>
    </r>
  </si>
  <si>
    <r>
      <t>CO</t>
    </r>
    <r>
      <rPr>
        <vertAlign val="subscript"/>
        <sz val="10"/>
        <rFont val="Arial"/>
        <family val="2"/>
      </rPr>
      <t>2</t>
    </r>
    <r>
      <rPr>
        <sz val="10"/>
        <rFont val="Arial"/>
        <family val="0"/>
      </rPr>
      <t xml:space="preserve"> from Methane combustion (CO</t>
    </r>
    <r>
      <rPr>
        <vertAlign val="subscript"/>
        <sz val="10"/>
        <rFont val="Arial"/>
        <family val="2"/>
      </rPr>
      <t>2</t>
    </r>
    <r>
      <rPr>
        <sz val="10"/>
        <rFont val="Arial"/>
        <family val="0"/>
      </rPr>
      <t xml:space="preserve"> derived from biomasa)</t>
    </r>
  </si>
  <si>
    <r>
      <t>CO</t>
    </r>
    <r>
      <rPr>
        <vertAlign val="subscript"/>
        <sz val="12"/>
        <rFont val="Arial"/>
        <family val="2"/>
      </rPr>
      <t>2</t>
    </r>
    <r>
      <rPr>
        <sz val="12"/>
        <rFont val="Arial"/>
        <family val="2"/>
      </rPr>
      <t xml:space="preserve"> emissions from Biomass burn</t>
    </r>
  </si>
  <si>
    <r>
      <t>Note: The emissions associated with electricity and/or steam import</t>
    </r>
    <r>
      <rPr>
        <b/>
        <sz val="11"/>
        <rFont val="Arial"/>
        <family val="2"/>
      </rPr>
      <t xml:space="preserve"> should be reported in scope 2 as indirect emissions.</t>
    </r>
  </si>
  <si>
    <t>The equations used to calculate emission allocations in the table above are mathematically identical to those in the current WRI default efficiency method.  However, they have been rearranged to allow the user to select a value for the parameter that controls the allocation (the ratio of efficiencies) in a way that is consistent with the energy balance for the CHP system.  The rearrangements have been made so that the assumptions inherrent to the efficiency method, and their implications, are more clear.  The equations make it clear that (a) the parameter that controls the allocation is the ratio of the efficiencies for heat and power generation, and (b) this ratio and the individual efficiencies are constrained by the energy balance.</t>
  </si>
  <si>
    <t>IINDIRECT EMISSIONS - ELECTRICITY AND/OR STEAM IMPORTS</t>
  </si>
  <si>
    <t>Indirect Emissions from electricity and steam imports</t>
  </si>
  <si>
    <t>Electricity and/or steam Import</t>
  </si>
  <si>
    <r>
      <t>Indirect CO</t>
    </r>
    <r>
      <rPr>
        <vertAlign val="subscript"/>
        <sz val="10"/>
        <rFont val="Arial"/>
        <family val="2"/>
      </rPr>
      <t>2</t>
    </r>
    <r>
      <rPr>
        <sz val="10"/>
        <rFont val="Arial"/>
        <family val="0"/>
      </rPr>
      <t xml:space="preserve"> emissions in metric tons</t>
    </r>
  </si>
  <si>
    <r>
      <t xml:space="preserve"> metric tons CO</t>
    </r>
    <r>
      <rPr>
        <vertAlign val="subscript"/>
        <sz val="10"/>
        <rFont val="Arial"/>
        <family val="2"/>
      </rPr>
      <t>2</t>
    </r>
  </si>
  <si>
    <t>Stream description</t>
  </si>
  <si>
    <t>*  Emission factors for purchased electricity can normally be obtained from national authorities or from the supplier of the purchased electricity.
  Emission factors for imported electricity or steam from CHP systems can be determined by the methods outlined in the "CHP Allocation" worksheet.</t>
  </si>
  <si>
    <t>Measurements in Miles:</t>
  </si>
  <si>
    <t>Note:  Gallons are US Gallons</t>
  </si>
  <si>
    <t>hybrid auto        56 mpg</t>
  </si>
  <si>
    <t>small gas auto 29 mpg</t>
  </si>
  <si>
    <t>med gas auto   23 mpg</t>
  </si>
  <si>
    <t>large gas auto 19 mpg</t>
  </si>
  <si>
    <t>LPG automobile</t>
  </si>
  <si>
    <t>diesel auto           24 mpg</t>
  </si>
  <si>
    <t>gas light truck    14 mpg</t>
  </si>
  <si>
    <t>gas heavy truck   6 mpg</t>
  </si>
  <si>
    <t>diesel light truck 15 mpg</t>
  </si>
  <si>
    <t>diesel heavy truck 7 mpg</t>
  </si>
  <si>
    <t>light motorcycle  60 mpg</t>
  </si>
  <si>
    <t>your vehicle</t>
  </si>
  <si>
    <t>vehicle miles</t>
  </si>
  <si>
    <t>Measurements in Kilometers:</t>
  </si>
  <si>
    <t>hybrid auto 56 mpg</t>
  </si>
  <si>
    <t>med gas auto 23 mpg</t>
  </si>
  <si>
    <t>vehicle kilometers</t>
  </si>
  <si>
    <t>diesel locomotive</t>
  </si>
  <si>
    <t>electric locomotive</t>
  </si>
  <si>
    <t>coal locomotive</t>
  </si>
  <si>
    <t>Rail transportation</t>
  </si>
  <si>
    <t>Water transportation</t>
  </si>
  <si>
    <t>Road transportation activity</t>
  </si>
  <si>
    <t>See calculator above to obtain kg per km</t>
  </si>
  <si>
    <t>from fuel efficiency</t>
  </si>
  <si>
    <t>Inland shipping</t>
  </si>
  <si>
    <t>Marine shipping</t>
  </si>
  <si>
    <t>Totals transportation emissions based on distance traveled &gt;&gt;&gt;</t>
  </si>
  <si>
    <t>Direct Emissions - Fuel Combustion in mobile devices such as harvesting equipment</t>
  </si>
  <si>
    <t xml:space="preserve">Total emissions from mobile equipment: </t>
  </si>
  <si>
    <t>Grand Total of all Mobil and Transportation Emissions (sum of results from Parts 1 through 3)):</t>
  </si>
  <si>
    <r>
      <t>metric tons CO</t>
    </r>
    <r>
      <rPr>
        <b/>
        <vertAlign val="subscript"/>
        <sz val="12"/>
        <rFont val="Arial"/>
        <family val="2"/>
      </rPr>
      <t>2</t>
    </r>
    <r>
      <rPr>
        <b/>
        <sz val="12"/>
        <rFont val="Arial"/>
        <family val="2"/>
      </rPr>
      <t xml:space="preserve"> equiv.</t>
    </r>
  </si>
  <si>
    <t>See calculator above to obtain kg per mile</t>
  </si>
  <si>
    <t>enter value &gt;&gt;&gt;</t>
  </si>
  <si>
    <r>
      <t>Kg. CO</t>
    </r>
    <r>
      <rPr>
        <vertAlign val="subscript"/>
        <sz val="9"/>
        <color indexed="41"/>
        <rFont val="Arial"/>
        <family val="2"/>
      </rPr>
      <t>2</t>
    </r>
    <r>
      <rPr>
        <sz val="9"/>
        <color indexed="41"/>
        <rFont val="Arial"/>
        <family val="2"/>
      </rPr>
      <t xml:space="preserve"> per Km.</t>
    </r>
  </si>
  <si>
    <t>liters /100 Km.</t>
  </si>
  <si>
    <t>Vehicle fuel efficiency</t>
  </si>
  <si>
    <t>miles per gallon</t>
  </si>
  <si>
    <r>
      <t>Kg. CO</t>
    </r>
    <r>
      <rPr>
        <vertAlign val="subscript"/>
        <sz val="9"/>
        <color indexed="41"/>
        <rFont val="Arial"/>
        <family val="2"/>
      </rPr>
      <t>2</t>
    </r>
    <r>
      <rPr>
        <sz val="9"/>
        <color indexed="41"/>
        <rFont val="Arial"/>
        <family val="2"/>
      </rPr>
      <t xml:space="preserve"> por mile</t>
    </r>
  </si>
  <si>
    <r>
      <t>kg CO</t>
    </r>
    <r>
      <rPr>
        <b/>
        <vertAlign val="subscript"/>
        <sz val="9"/>
        <rFont val="Arial"/>
        <family val="2"/>
      </rPr>
      <t>2</t>
    </r>
    <r>
      <rPr>
        <b/>
        <sz val="9"/>
        <rFont val="Arial"/>
        <family val="2"/>
      </rPr>
      <t xml:space="preserve"> per unit of distance</t>
    </r>
  </si>
  <si>
    <t>Default emission factors are from Revised 1996 IPCC Guidelines for National Greenhouse Gas Inventories: Workbook (Volume 2), if not otherwise noted.</t>
  </si>
  <si>
    <t>Gasoline / petrol</t>
  </si>
  <si>
    <t>Jet Fuel</t>
  </si>
  <si>
    <t>Aviation gasoline</t>
  </si>
  <si>
    <t>Distillate fuel oil No.1</t>
  </si>
  <si>
    <t>Distillate fuel oil No.2</t>
  </si>
  <si>
    <t>Residual Fuel oil#4</t>
  </si>
  <si>
    <t>Residual Fuel oil#5</t>
  </si>
  <si>
    <t>Residual Fuel oil#6</t>
  </si>
  <si>
    <t>Bituminous coal</t>
  </si>
  <si>
    <t>Butane</t>
  </si>
  <si>
    <t>Propane</t>
  </si>
  <si>
    <t>Sub-bituminous coal</t>
  </si>
  <si>
    <t>Wood, wood waste</t>
  </si>
  <si>
    <t>standar meter cubic</t>
  </si>
  <si>
    <t>(Derived)</t>
  </si>
  <si>
    <t xml:space="preserve"> GJ / liter</t>
  </si>
  <si>
    <t>Typical density</t>
  </si>
  <si>
    <t>GJ/tonne</t>
  </si>
  <si>
    <t>( lb / gal )</t>
  </si>
  <si>
    <t>4.84 (liquid)</t>
  </si>
  <si>
    <t>4.24 (liquid)</t>
  </si>
  <si>
    <t>gallon</t>
  </si>
  <si>
    <t>Optional Calculator</t>
  </si>
  <si>
    <t xml:space="preserve"> = Distance traveled</t>
  </si>
  <si>
    <t xml:space="preserve"> = miles per gallon</t>
  </si>
  <si>
    <t xml:space="preserve">        OR</t>
  </si>
  <si>
    <t xml:space="preserve"> = litres per 100 km</t>
  </si>
  <si>
    <t>&lt;&lt;&lt; enter this value</t>
  </si>
  <si>
    <t>&lt;&lt;&lt; enter one of these</t>
  </si>
  <si>
    <t>&lt;&lt;&lt; calculated</t>
  </si>
  <si>
    <t>Suggested Default Emission Factors</t>
  </si>
  <si>
    <t xml:space="preserve">  Typical emission factors - [This is additional information copied from the WRI/WCBSD calculation tool]</t>
  </si>
  <si>
    <t>Natural gas (dry)</t>
  </si>
  <si>
    <t>Coal</t>
  </si>
  <si>
    <t>*Suggest default emission factor includes a 2% correction for unburned carbon</t>
  </si>
  <si>
    <t>Sources:</t>
  </si>
  <si>
    <t>Your Vehicle Definitions</t>
  </si>
  <si>
    <t>Edit only one (liters/100 km OR mpg)</t>
  </si>
  <si>
    <t>edit litros/100 Km.</t>
  </si>
  <si>
    <t>gasoline</t>
  </si>
  <si>
    <t>New small gas/electric hybrid</t>
  </si>
  <si>
    <t>Small gas auto, hghwy</t>
  </si>
  <si>
    <t xml:space="preserve">  Small gas auto, city</t>
  </si>
  <si>
    <t>Medium gas auto, hghwy</t>
  </si>
  <si>
    <t xml:space="preserve">  Medium gas auto, city</t>
  </si>
  <si>
    <t>Large gas automobile, hwy</t>
  </si>
  <si>
    <t xml:space="preserve">  Large gas automobile, city</t>
  </si>
  <si>
    <t xml:space="preserve">  Med Station wagon, city</t>
  </si>
  <si>
    <t xml:space="preserve">  Mini Van, city</t>
  </si>
  <si>
    <t>Large Van, hwy</t>
  </si>
  <si>
    <t xml:space="preserve">  Large Van, city</t>
  </si>
  <si>
    <t>Mid size. Pick-up Trucks, hwy</t>
  </si>
  <si>
    <t xml:space="preserve">  Pick-up Trucks, city</t>
  </si>
  <si>
    <t>Large Pick-up Trucks, hwy</t>
  </si>
  <si>
    <t xml:space="preserve">  Large Pick-up Trucks, city</t>
  </si>
  <si>
    <t>Diesel automobile</t>
  </si>
  <si>
    <t>Gasoline light truck</t>
  </si>
  <si>
    <t>Gasoline heavy truck</t>
  </si>
  <si>
    <t>Diesel light truck</t>
  </si>
  <si>
    <t>Diesel heavy truck</t>
  </si>
  <si>
    <t>Light motorcycle</t>
  </si>
  <si>
    <t>[heavy] Motorcycle</t>
  </si>
  <si>
    <t>Diesel bus</t>
  </si>
  <si>
    <t>Typical vehicles (recent vintage)</t>
  </si>
  <si>
    <t>US 1997, passenger auto</t>
  </si>
  <si>
    <t>US 1997, other 2 axle vehicle</t>
  </si>
  <si>
    <t>EU 1997, pasenger auto</t>
  </si>
  <si>
    <t>US 1990, passenger auto</t>
  </si>
  <si>
    <t>US 1990, other 2 axle vehicle</t>
  </si>
  <si>
    <t>EU 1990, passenger auto</t>
  </si>
  <si>
    <t>Average vehicles on road, by calendar year</t>
  </si>
  <si>
    <t>Vehicle Characteristics</t>
  </si>
  <si>
    <t>Vehicle Type</t>
  </si>
  <si>
    <t>liters/100 Km.</t>
  </si>
  <si>
    <r>
      <t>CO</t>
    </r>
    <r>
      <rPr>
        <b/>
        <vertAlign val="subscript"/>
        <sz val="9"/>
        <rFont val="Arial"/>
        <family val="2"/>
      </rPr>
      <t>2</t>
    </r>
    <r>
      <rPr>
        <b/>
        <sz val="9"/>
        <rFont val="Arial"/>
        <family val="2"/>
      </rPr>
      <t>/km traveled</t>
    </r>
  </si>
  <si>
    <t>Fuel efficiency factors in this section were developed</t>
  </si>
  <si>
    <t>by WRI/WBCSD as outlined in their GHG Calculation Tools</t>
  </si>
  <si>
    <t>for mobile combustion, accessible on the web at</t>
  </si>
  <si>
    <t>Fuel efficiency factors in this section are averages based</t>
  </si>
  <si>
    <t>on values given for many models in each category,</t>
  </si>
  <si>
    <t>by EPA's 2001 Green Vehicle Guide</t>
  </si>
  <si>
    <t>Gasoline</t>
  </si>
  <si>
    <t>Distillate Fuel Oil 5 y 6</t>
  </si>
  <si>
    <t>liters (PC)</t>
  </si>
  <si>
    <t>metrics tons</t>
  </si>
  <si>
    <t>short tons</t>
  </si>
  <si>
    <t>Emission Factor</t>
  </si>
  <si>
    <t>Barrels</t>
  </si>
  <si>
    <r>
      <t>Kg. CO</t>
    </r>
    <r>
      <rPr>
        <b/>
        <vertAlign val="subscript"/>
        <sz val="10"/>
        <rFont val="Arial"/>
        <family val="2"/>
      </rPr>
      <t>2</t>
    </r>
    <r>
      <rPr>
        <b/>
        <sz val="10"/>
        <rFont val="Arial"/>
        <family val="2"/>
      </rPr>
      <t xml:space="preserve"> / GJ</t>
    </r>
  </si>
  <si>
    <t xml:space="preserve">Calculadora Opcional </t>
  </si>
  <si>
    <t>E1</t>
  </si>
  <si>
    <t>E2</t>
  </si>
  <si>
    <t>G1</t>
  </si>
  <si>
    <t>G2</t>
  </si>
  <si>
    <t>Default</t>
  </si>
  <si>
    <t>H =FxG/1000</t>
  </si>
  <si>
    <t>US gals</t>
  </si>
  <si>
    <r>
      <t xml:space="preserve">     Spreadsheets for Calculating GHG and SO</t>
    </r>
    <r>
      <rPr>
        <b/>
        <u val="single"/>
        <vertAlign val="subscript"/>
        <sz val="16"/>
        <rFont val="Arial"/>
        <family val="2"/>
      </rPr>
      <t>2</t>
    </r>
    <r>
      <rPr>
        <b/>
        <u val="single"/>
        <sz val="16"/>
        <rFont val="Arial"/>
        <family val="2"/>
      </rPr>
      <t xml:space="preserve"> emissions from pulp and paper manufacturing</t>
    </r>
    <r>
      <rPr>
        <b/>
        <sz val="14"/>
        <rFont val="Arial"/>
        <family val="2"/>
      </rPr>
      <t xml:space="preserve">
Workbook Version 1.0 (see below for USER AGREEMENT)</t>
    </r>
  </si>
  <si>
    <r>
      <t>An aid to developing estimates using the methods in "Calculation tools for estimating greenhouse gas and SO</t>
    </r>
    <r>
      <rPr>
        <b/>
        <vertAlign val="subscript"/>
        <sz val="14"/>
        <color indexed="62"/>
        <rFont val="Arial"/>
        <family val="2"/>
      </rPr>
      <t>2</t>
    </r>
    <r>
      <rPr>
        <b/>
        <sz val="14"/>
        <color indexed="62"/>
        <rFont val="Arial"/>
        <family val="2"/>
      </rPr>
      <t xml:space="preserve"> emissions from pulp and paper mills," Report Version 1.0</t>
    </r>
  </si>
  <si>
    <t>World Resources Institute (WRI) The GHG Protocol Initiative www.ghgprotocol.org</t>
  </si>
  <si>
    <t>Direct - Fuel Combustion</t>
  </si>
  <si>
    <t>Direct - Waste Management</t>
  </si>
  <si>
    <r>
      <t>Direct - SO</t>
    </r>
    <r>
      <rPr>
        <b/>
        <vertAlign val="subscript"/>
        <sz val="14"/>
        <rFont val="Arial"/>
        <family val="2"/>
      </rPr>
      <t>2</t>
    </r>
    <r>
      <rPr>
        <b/>
        <sz val="14"/>
        <rFont val="Arial"/>
        <family val="2"/>
      </rPr>
      <t xml:space="preserve"> </t>
    </r>
  </si>
  <si>
    <r>
      <t>Direct emissions of CO</t>
    </r>
    <r>
      <rPr>
        <vertAlign val="subscript"/>
        <sz val="14"/>
        <rFont val="Arial"/>
        <family val="2"/>
      </rPr>
      <t>2</t>
    </r>
    <r>
      <rPr>
        <sz val="14"/>
        <rFont val="Arial"/>
        <family val="2"/>
      </rPr>
      <t>, CH</t>
    </r>
    <r>
      <rPr>
        <vertAlign val="subscript"/>
        <sz val="14"/>
        <rFont val="Arial"/>
        <family val="2"/>
      </rPr>
      <t>4</t>
    </r>
    <r>
      <rPr>
        <sz val="14"/>
        <rFont val="Arial"/>
        <family val="2"/>
      </rPr>
      <t>, and N</t>
    </r>
    <r>
      <rPr>
        <vertAlign val="subscript"/>
        <sz val="14"/>
        <rFont val="Arial"/>
        <family val="2"/>
      </rPr>
      <t>2</t>
    </r>
    <r>
      <rPr>
        <sz val="14"/>
        <rFont val="Arial"/>
        <family val="2"/>
      </rPr>
      <t>O resulting from fuel combustion - includes default emission factors</t>
    </r>
  </si>
  <si>
    <r>
      <t>Direct emissions from CH</t>
    </r>
    <r>
      <rPr>
        <vertAlign val="subscript"/>
        <sz val="14"/>
        <rFont val="Arial"/>
        <family val="2"/>
      </rPr>
      <t>4</t>
    </r>
    <r>
      <rPr>
        <sz val="14"/>
        <rFont val="Arial"/>
        <family val="2"/>
      </rPr>
      <t xml:space="preserve"> and N</t>
    </r>
    <r>
      <rPr>
        <vertAlign val="subscript"/>
        <sz val="14"/>
        <rFont val="Arial"/>
        <family val="2"/>
      </rPr>
      <t>2</t>
    </r>
    <r>
      <rPr>
        <sz val="14"/>
        <rFont val="Arial"/>
        <family val="2"/>
      </rPr>
      <t>O</t>
    </r>
  </si>
  <si>
    <r>
      <t>Emissions of CO</t>
    </r>
    <r>
      <rPr>
        <vertAlign val="subscript"/>
        <sz val="14"/>
        <rFont val="Arial"/>
        <family val="2"/>
      </rPr>
      <t>2</t>
    </r>
    <r>
      <rPr>
        <sz val="14"/>
        <rFont val="Arial"/>
        <family val="2"/>
      </rPr>
      <t>, CH</t>
    </r>
    <r>
      <rPr>
        <vertAlign val="subscript"/>
        <sz val="14"/>
        <rFont val="Arial"/>
        <family val="2"/>
      </rPr>
      <t>4</t>
    </r>
    <r>
      <rPr>
        <sz val="14"/>
        <rFont val="Arial"/>
        <family val="2"/>
      </rPr>
      <t>, and N</t>
    </r>
    <r>
      <rPr>
        <vertAlign val="subscript"/>
        <sz val="14"/>
        <rFont val="Arial"/>
        <family val="2"/>
      </rPr>
      <t>2</t>
    </r>
    <r>
      <rPr>
        <sz val="14"/>
        <rFont val="Arial"/>
        <family val="2"/>
      </rPr>
      <t>O from fuel combustion in mobile equipment and transportation devices</t>
    </r>
  </si>
  <si>
    <r>
      <t>Direct emissions of CH</t>
    </r>
    <r>
      <rPr>
        <vertAlign val="subscript"/>
        <sz val="14"/>
        <rFont val="Arial"/>
        <family val="2"/>
      </rPr>
      <t>4</t>
    </r>
    <r>
      <rPr>
        <sz val="14"/>
        <rFont val="Arial"/>
        <family val="2"/>
      </rPr>
      <t xml:space="preserve"> resulting from anaerobic treatment operations</t>
    </r>
  </si>
  <si>
    <r>
      <t>Direct emissions of CO</t>
    </r>
    <r>
      <rPr>
        <vertAlign val="subscript"/>
        <sz val="14"/>
        <rFont val="Arial"/>
        <family val="2"/>
      </rPr>
      <t>2</t>
    </r>
    <r>
      <rPr>
        <sz val="14"/>
        <rFont val="Arial"/>
        <family val="2"/>
      </rPr>
      <t xml:space="preserve"> from make-up carbonates used in the pulp mill</t>
    </r>
  </si>
  <si>
    <r>
      <t>Direct emissions of biomass CO</t>
    </r>
    <r>
      <rPr>
        <vertAlign val="subscript"/>
        <sz val="14"/>
        <rFont val="Arial"/>
        <family val="2"/>
      </rPr>
      <t>2</t>
    </r>
    <r>
      <rPr>
        <sz val="14"/>
        <rFont val="Arial"/>
        <family val="2"/>
      </rPr>
      <t xml:space="preserve"> for informational purposes only (do not include in GHG inventory)</t>
    </r>
  </si>
  <si>
    <r>
      <t>CO</t>
    </r>
    <r>
      <rPr>
        <vertAlign val="subscript"/>
        <sz val="14"/>
        <rFont val="Arial"/>
        <family val="2"/>
      </rPr>
      <t>2</t>
    </r>
    <r>
      <rPr>
        <sz val="14"/>
        <rFont val="Arial"/>
        <family val="2"/>
      </rPr>
      <t xml:space="preserve"> emissions exported to precipitated calcium carbonate plants and CO</t>
    </r>
    <r>
      <rPr>
        <vertAlign val="subscript"/>
        <sz val="14"/>
        <rFont val="Arial"/>
        <family val="2"/>
      </rPr>
      <t>2</t>
    </r>
    <r>
      <rPr>
        <sz val="14"/>
        <rFont val="Arial"/>
        <family val="2"/>
      </rPr>
      <t xml:space="preserve"> imports (e.g. for neutralization)</t>
    </r>
  </si>
  <si>
    <r>
      <t>CO</t>
    </r>
    <r>
      <rPr>
        <b/>
        <vertAlign val="subscript"/>
        <sz val="14"/>
        <rFont val="Arial"/>
        <family val="2"/>
      </rPr>
      <t>2</t>
    </r>
    <r>
      <rPr>
        <b/>
        <sz val="14"/>
        <rFont val="Arial"/>
        <family val="2"/>
      </rPr>
      <t xml:space="preserve"> Imports and Exports</t>
    </r>
  </si>
  <si>
    <r>
      <t>Direct SO</t>
    </r>
    <r>
      <rPr>
        <vertAlign val="subscript"/>
        <sz val="14"/>
        <rFont val="Arial"/>
        <family val="2"/>
      </rPr>
      <t>2</t>
    </r>
    <r>
      <rPr>
        <sz val="14"/>
        <rFont val="Arial"/>
        <family val="2"/>
      </rPr>
      <t xml:space="preserve"> emissions from stationary fossil fuel combustión (local pollutam for Mexico)</t>
    </r>
  </si>
  <si>
    <t>Use this space to provide a general description of organizational/operational boundaries.</t>
  </si>
  <si>
    <t>Use this space to provide additional information helpful to understanding the organizational/operational boundaries of the inventory</t>
  </si>
  <si>
    <t>B = A * Conversion Factor</t>
  </si>
  <si>
    <t>E = B * C</t>
  </si>
  <si>
    <t>Imp. gals</t>
  </si>
  <si>
    <t>Diesel</t>
  </si>
  <si>
    <t>lbs.</t>
  </si>
  <si>
    <t>G = ( A + B * F ) / ( C * F )</t>
  </si>
  <si>
    <t>H = G * F</t>
  </si>
  <si>
    <t>I = E * ( A / ( A + B * F ) )</t>
  </si>
  <si>
    <t>J = E - I</t>
  </si>
  <si>
    <t>K = I * 1000 / A</t>
  </si>
  <si>
    <t>L = J * 1000 / B</t>
  </si>
  <si>
    <r>
      <t>e</t>
    </r>
    <r>
      <rPr>
        <vertAlign val="subscript"/>
        <sz val="10"/>
        <rFont val="Arial"/>
        <family val="2"/>
      </rPr>
      <t>h</t>
    </r>
    <r>
      <rPr>
        <sz val="10"/>
        <rFont val="Arial"/>
        <family val="0"/>
      </rPr>
      <t>/e</t>
    </r>
    <r>
      <rPr>
        <vertAlign val="subscript"/>
        <sz val="10"/>
        <rFont val="Arial"/>
        <family val="2"/>
      </rPr>
      <t>p</t>
    </r>
  </si>
  <si>
    <t>F = D x E</t>
  </si>
  <si>
    <t>(MJ/bl)</t>
  </si>
  <si>
    <t>(kJ/m3)</t>
  </si>
  <si>
    <t>(MJ/t)</t>
  </si>
  <si>
    <t>MJ/MWh</t>
  </si>
  <si>
    <t>MJ/bl</t>
  </si>
  <si>
    <t>MJ/t</t>
  </si>
  <si>
    <t>Metil-terbutil-éter (MTBE)</t>
  </si>
  <si>
    <t>kJ/m3</t>
  </si>
  <si>
    <t>MJ/g</t>
  </si>
  <si>
    <t xml:space="preserve">GJ/ US </t>
  </si>
  <si>
    <t xml:space="preserve">GJ/Imp </t>
  </si>
  <si>
    <t xml:space="preserve">0.039 GJ / </t>
  </si>
  <si>
    <t>Gas</t>
  </si>
  <si>
    <t>F = CxE/1000</t>
  </si>
  <si>
    <t>short ton miles</t>
  </si>
  <si>
    <t>Metric tonne kilometers</t>
  </si>
  <si>
    <t>C1</t>
  </si>
  <si>
    <t>C2</t>
  </si>
  <si>
    <t>F1</t>
  </si>
  <si>
    <t>mpg</t>
  </si>
  <si>
    <t>G = F * 21</t>
  </si>
  <si>
    <t>H</t>
  </si>
  <si>
    <t>I</t>
  </si>
  <si>
    <t>J</t>
  </si>
  <si>
    <t xml:space="preserve"> </t>
  </si>
  <si>
    <t>E = A * C</t>
  </si>
  <si>
    <t>F = E / 1000</t>
  </si>
  <si>
    <t>MWh</t>
  </si>
  <si>
    <t>K</t>
  </si>
  <si>
    <t>L</t>
  </si>
  <si>
    <t>D = (A * B) - C</t>
  </si>
  <si>
    <t>C = 1000 * B * 3.664 / A</t>
  </si>
  <si>
    <r>
      <t>Kg. CO</t>
    </r>
    <r>
      <rPr>
        <vertAlign val="subscript"/>
        <sz val="10"/>
        <rFont val="Arial"/>
        <family val="2"/>
      </rPr>
      <t>2</t>
    </r>
    <r>
      <rPr>
        <sz val="10"/>
        <rFont val="Arial"/>
        <family val="0"/>
      </rPr>
      <t xml:space="preserve"> / GJ</t>
    </r>
  </si>
  <si>
    <t>CONVERSION FACTORS</t>
  </si>
  <si>
    <t>MASS</t>
  </si>
  <si>
    <t>VOLUME</t>
  </si>
  <si>
    <t>ENERGY</t>
  </si>
  <si>
    <t>OTHER</t>
  </si>
  <si>
    <t>1 pound (lb)</t>
  </si>
  <si>
    <t>1 kilogram (kg)</t>
  </si>
  <si>
    <t>1 short ton (ton)</t>
  </si>
  <si>
    <t>1 metric ton</t>
  </si>
  <si>
    <t>0.4536 kilograms (kg)</t>
  </si>
  <si>
    <t>907.2 kilograms (kg)</t>
  </si>
  <si>
    <t>1,000 kilograms (kg)</t>
  </si>
  <si>
    <t>0.0004536 metric tons (tonne)</t>
  </si>
  <si>
    <t>1.1205 short tons (tons)</t>
  </si>
  <si>
    <r>
      <t xml:space="preserve">1 cubic foot (ft </t>
    </r>
    <r>
      <rPr>
        <vertAlign val="superscript"/>
        <sz val="12"/>
        <rFont val="Arial"/>
        <family val="2"/>
      </rPr>
      <t>3</t>
    </r>
    <r>
      <rPr>
        <sz val="12"/>
        <rFont val="Arial"/>
        <family val="2"/>
      </rPr>
      <t>)</t>
    </r>
  </si>
  <si>
    <t>7.4805 gallons (gal)</t>
  </si>
  <si>
    <t>0.1781 barrel (bbl)</t>
  </si>
  <si>
    <t>28.32 liters (L)</t>
  </si>
  <si>
    <r>
      <t xml:space="preserve">0.02832 cubic meters (m </t>
    </r>
    <r>
      <rPr>
        <vertAlign val="superscript"/>
        <sz val="12"/>
        <rFont val="Arial"/>
        <family val="2"/>
      </rPr>
      <t>3</t>
    </r>
    <r>
      <rPr>
        <sz val="12"/>
        <rFont val="Arial"/>
        <family val="2"/>
      </rPr>
      <t>)</t>
    </r>
  </si>
  <si>
    <t>1 gallon (gal)</t>
  </si>
  <si>
    <t>0.0238 barrel (bbl)</t>
  </si>
  <si>
    <t>3.785 liters (L)</t>
  </si>
  <si>
    <r>
      <t xml:space="preserve">0.003785 cubic meters (m </t>
    </r>
    <r>
      <rPr>
        <vertAlign val="superscript"/>
        <sz val="12"/>
        <rFont val="Arial"/>
        <family val="2"/>
      </rPr>
      <t>3</t>
    </r>
    <r>
      <rPr>
        <sz val="12"/>
        <rFont val="Arial"/>
        <family val="2"/>
      </rPr>
      <t>)</t>
    </r>
  </si>
  <si>
    <t>1 barrel (bbl)</t>
  </si>
  <si>
    <t>42 gallons (gal)</t>
  </si>
  <si>
    <t>158.99 liters (L)</t>
  </si>
  <si>
    <r>
      <t xml:space="preserve">0.1589 cubic meters (m </t>
    </r>
    <r>
      <rPr>
        <vertAlign val="superscript"/>
        <sz val="12"/>
        <rFont val="Arial"/>
        <family val="2"/>
      </rPr>
      <t>3</t>
    </r>
    <r>
      <rPr>
        <sz val="12"/>
        <rFont val="Arial"/>
        <family val="2"/>
      </rPr>
      <t>)</t>
    </r>
  </si>
  <si>
    <t>1 litre (L)</t>
  </si>
  <si>
    <r>
      <t xml:space="preserve">0.001 cubic meters (m </t>
    </r>
    <r>
      <rPr>
        <vertAlign val="superscript"/>
        <sz val="12"/>
        <rFont val="Arial"/>
        <family val="2"/>
      </rPr>
      <t>3</t>
    </r>
    <r>
      <rPr>
        <sz val="12"/>
        <rFont val="Arial"/>
        <family val="2"/>
      </rPr>
      <t>)</t>
    </r>
  </si>
  <si>
    <t>0.2642 gallons (gal)</t>
  </si>
  <si>
    <r>
      <t xml:space="preserve">1 cubic meter (m </t>
    </r>
    <r>
      <rPr>
        <vertAlign val="superscript"/>
        <sz val="12"/>
        <rFont val="Arial"/>
        <family val="2"/>
      </rPr>
      <t>3</t>
    </r>
    <r>
      <rPr>
        <sz val="12"/>
        <rFont val="Arial"/>
        <family val="2"/>
      </rPr>
      <t>)</t>
    </r>
  </si>
  <si>
    <t>6.2897 barrels (bbl)</t>
  </si>
  <si>
    <t>264.2 gallons (gal)</t>
  </si>
  <si>
    <t>1,000 liters (L)</t>
  </si>
  <si>
    <t>E = C * D/1000</t>
  </si>
  <si>
    <t>1 kilowatt hour (kWh)</t>
  </si>
  <si>
    <t>3,600 kilojoules (KJ)</t>
  </si>
  <si>
    <t>0.9478 million Btu (million btu)</t>
  </si>
  <si>
    <t>277.8 kilowatt hours (kWh)</t>
  </si>
  <si>
    <t>1 million Btu (million btu)</t>
  </si>
  <si>
    <t>293 kilowatt hours (kWh)</t>
  </si>
  <si>
    <t>29.3 kilowatt hours (kWh)</t>
  </si>
  <si>
    <t>1 mile (statue)</t>
  </si>
  <si>
    <t>1.609 kilometers</t>
  </si>
  <si>
    <r>
      <t>1 metric ton CH</t>
    </r>
    <r>
      <rPr>
        <vertAlign val="subscript"/>
        <sz val="12"/>
        <rFont val="Arial"/>
        <family val="2"/>
      </rPr>
      <t>4</t>
    </r>
  </si>
  <si>
    <r>
      <t>21 metric tons CO</t>
    </r>
    <r>
      <rPr>
        <vertAlign val="subscript"/>
        <sz val="12"/>
        <rFont val="Arial"/>
        <family val="2"/>
      </rPr>
      <t>2</t>
    </r>
    <r>
      <rPr>
        <sz val="12"/>
        <rFont val="Arial"/>
        <family val="2"/>
      </rPr>
      <t xml:space="preserve"> equivalent</t>
    </r>
  </si>
  <si>
    <r>
      <t>1metric  ton N</t>
    </r>
    <r>
      <rPr>
        <vertAlign val="subscript"/>
        <sz val="12"/>
        <rFont val="Arial"/>
        <family val="2"/>
      </rPr>
      <t>2</t>
    </r>
    <r>
      <rPr>
        <sz val="12"/>
        <rFont val="Arial"/>
        <family val="2"/>
      </rPr>
      <t>O</t>
    </r>
  </si>
  <si>
    <r>
      <t>310 metric tons CO</t>
    </r>
    <r>
      <rPr>
        <vertAlign val="subscript"/>
        <sz val="12"/>
        <rFont val="Arial"/>
        <family val="2"/>
      </rPr>
      <t>2</t>
    </r>
    <r>
      <rPr>
        <sz val="12"/>
        <rFont val="Arial"/>
        <family val="2"/>
      </rPr>
      <t xml:space="preserve"> equivalent</t>
    </r>
  </si>
  <si>
    <t>1 metric ton carbon</t>
  </si>
  <si>
    <r>
      <t>3.664 metric tons CO</t>
    </r>
    <r>
      <rPr>
        <vertAlign val="subscript"/>
        <sz val="12"/>
        <rFont val="Arial"/>
        <family val="2"/>
      </rPr>
      <t>2</t>
    </r>
  </si>
  <si>
    <t>14.696 pounds per square inch (psia)</t>
  </si>
  <si>
    <t>SUPPORTING INFORMATION ON BIOMASS</t>
  </si>
  <si>
    <r>
      <t>Estimating Climate-Neutral CO</t>
    </r>
    <r>
      <rPr>
        <b/>
        <vertAlign val="subscript"/>
        <sz val="12"/>
        <rFont val="Arial"/>
        <family val="2"/>
      </rPr>
      <t>2</t>
    </r>
    <r>
      <rPr>
        <b/>
        <sz val="12"/>
        <rFont val="Arial"/>
        <family val="2"/>
      </rPr>
      <t xml:space="preserve"> Emissions from Biomass Combustion. </t>
    </r>
  </si>
  <si>
    <t>Many pulp and paper mills generate more than half of their energy needs from climate-neutral biomass fuels recovered from the industry’s waste and process streams.  Energy-rich biomass – derived from wood chips, bark, sawdust and pulping liquors recovered from the harvesting and manufacturing processes – is the result of atmospheric carbon dioxide being sequestered by trees during growth and transformed into organic carbon substances.  When these biomass fuels are burned, the CO2 emitted during the manufacturing and combustion processes is the atmospheric carbon dioxide that was sequestered during growth of the tree; hence, there is no net contribution to the atmospheric CO2 level.  This carbon cycle is a closed-loop.  New tree growth keeps absorbing atmospheric carbon dioxide and maintains the cycle.</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</si>
</sst>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00"/>
    <numFmt numFmtId="176" formatCode="#,##0.000"/>
    <numFmt numFmtId="177" formatCode="_(* #,##0.0_);_(* \(#,##0.0\);_(* &quot;-&quot;??_);_(@_)"/>
    <numFmt numFmtId="178" formatCode="0.00&quot; *&quot;"/>
    <numFmt numFmtId="179" formatCode="###0.00_)"/>
    <numFmt numFmtId="180" formatCode="0.0_W"/>
    <numFmt numFmtId="181" formatCode="#,##0_)"/>
    <numFmt numFmtId="182" formatCode="#,##0.0\ &quot;l/100km&quot;"/>
    <numFmt numFmtId="183" formatCode="#,##0.00000"/>
    <numFmt numFmtId="184" formatCode="0.000000E+00"/>
    <numFmt numFmtId="185" formatCode="&quot;Yes&quot;;&quot;Yes&quot;;&quot;No&quot;"/>
    <numFmt numFmtId="186" formatCode="&quot;True&quot;;&quot;True&quot;;&quot;False&quot;"/>
    <numFmt numFmtId="187" formatCode="&quot;On&quot;;&quot;On&quot;;&quot;Off&quot;"/>
    <numFmt numFmtId="188" formatCode="[$€-2]\ #,##0.00_);[Red]\([$€-2]\ #,##0.00\)"/>
    <numFmt numFmtId="189" formatCode="#,##0.000;\-#,##0.000"/>
    <numFmt numFmtId="190" formatCode="#,##0.0000;\-#,##0.0000"/>
    <numFmt numFmtId="191" formatCode="&quot;Sí&quot;;&quot;Sí&quot;;&quot;No&quot;"/>
    <numFmt numFmtId="192" formatCode="&quot;Verdadero&quot;;&quot;Verdadero&quot;;&quot;Falso&quot;"/>
    <numFmt numFmtId="193" formatCode="&quot;Activado&quot;;&quot;Activado&quot;;&quot;Desactivado&quot;"/>
    <numFmt numFmtId="194" formatCode="#,##0.0000"/>
  </numFmts>
  <fonts count="91">
    <font>
      <sz val="10"/>
      <name val="Arial"/>
      <family val="0"/>
    </font>
    <font>
      <sz val="12"/>
      <name val="Arial"/>
      <family val="2"/>
    </font>
    <font>
      <b/>
      <sz val="10"/>
      <name val="Arial"/>
      <family val="2"/>
    </font>
    <font>
      <sz val="10"/>
      <color indexed="47"/>
      <name val="Arial"/>
      <family val="2"/>
    </font>
    <font>
      <sz val="10"/>
      <color indexed="9"/>
      <name val="Arial"/>
      <family val="2"/>
    </font>
    <font>
      <b/>
      <sz val="10"/>
      <color indexed="9"/>
      <name val="Arial"/>
      <family val="2"/>
    </font>
    <font>
      <b/>
      <sz val="12"/>
      <name val="Arial"/>
      <family val="2"/>
    </font>
    <font>
      <sz val="14"/>
      <name val="Arial"/>
      <family val="2"/>
    </font>
    <font>
      <u val="single"/>
      <sz val="10"/>
      <color indexed="12"/>
      <name val="Arial"/>
      <family val="0"/>
    </font>
    <font>
      <u val="single"/>
      <sz val="10"/>
      <color indexed="36"/>
      <name val="Arial"/>
      <family val="0"/>
    </font>
    <font>
      <b/>
      <vertAlign val="subscript"/>
      <sz val="10"/>
      <name val="Arial"/>
      <family val="2"/>
    </font>
    <font>
      <sz val="9"/>
      <name val="Arial"/>
      <family val="2"/>
    </font>
    <font>
      <b/>
      <sz val="11"/>
      <name val="Arial"/>
      <family val="2"/>
    </font>
    <font>
      <sz val="8"/>
      <name val="Arial"/>
      <family val="2"/>
    </font>
    <font>
      <b/>
      <sz val="8"/>
      <name val="Arial"/>
      <family val="2"/>
    </font>
    <font>
      <vertAlign val="superscript"/>
      <sz val="12"/>
      <name val="Arial"/>
      <family val="2"/>
    </font>
    <font>
      <vertAlign val="subscript"/>
      <sz val="12"/>
      <name val="Arial"/>
      <family val="2"/>
    </font>
    <font>
      <b/>
      <sz val="14"/>
      <name val="Arial"/>
      <family val="2"/>
    </font>
    <font>
      <b/>
      <sz val="10"/>
      <color indexed="10"/>
      <name val="Arial"/>
      <family val="2"/>
    </font>
    <font>
      <i/>
      <sz val="10"/>
      <name val="Arial"/>
      <family val="2"/>
    </font>
    <font>
      <vertAlign val="subscript"/>
      <sz val="10"/>
      <name val="Arial"/>
      <family val="2"/>
    </font>
    <font>
      <b/>
      <u val="single"/>
      <sz val="11"/>
      <name val="Arial"/>
      <family val="2"/>
    </font>
    <font>
      <b/>
      <sz val="8"/>
      <name val="Tahoma"/>
      <family val="0"/>
    </font>
    <font>
      <b/>
      <vertAlign val="subscript"/>
      <sz val="8"/>
      <name val="Tahoma"/>
      <family val="2"/>
    </font>
    <font>
      <b/>
      <sz val="12"/>
      <color indexed="10"/>
      <name val="Arial"/>
      <family val="2"/>
    </font>
    <font>
      <b/>
      <sz val="18"/>
      <name val="Arial"/>
      <family val="2"/>
    </font>
    <font>
      <b/>
      <sz val="16"/>
      <name val="Arial"/>
      <family val="2"/>
    </font>
    <font>
      <b/>
      <i/>
      <sz val="12"/>
      <name val="Arial"/>
      <family val="2"/>
    </font>
    <font>
      <b/>
      <u val="single"/>
      <sz val="16"/>
      <name val="Arial"/>
      <family val="2"/>
    </font>
    <font>
      <sz val="16"/>
      <name val="Arial"/>
      <family val="2"/>
    </font>
    <font>
      <sz val="12"/>
      <name val="Helv"/>
      <family val="0"/>
    </font>
    <font>
      <b/>
      <sz val="12"/>
      <name val="Helv"/>
      <family val="0"/>
    </font>
    <font>
      <sz val="9"/>
      <name val="Helv"/>
      <family val="0"/>
    </font>
    <font>
      <vertAlign val="superscript"/>
      <sz val="12"/>
      <name val="Helv"/>
      <family val="0"/>
    </font>
    <font>
      <sz val="10"/>
      <name val="Helv"/>
      <family val="0"/>
    </font>
    <font>
      <b/>
      <sz val="9"/>
      <name val="Helv"/>
      <family val="0"/>
    </font>
    <font>
      <sz val="8.5"/>
      <name val="Helv"/>
      <family val="0"/>
    </font>
    <font>
      <b/>
      <sz val="10"/>
      <name val="Helv"/>
      <family val="0"/>
    </font>
    <font>
      <sz val="8"/>
      <name val="Helv"/>
      <family val="0"/>
    </font>
    <font>
      <b/>
      <sz val="14"/>
      <name val="Helv"/>
      <family val="0"/>
    </font>
    <font>
      <b/>
      <i/>
      <sz val="10"/>
      <name val="Arial"/>
      <family val="2"/>
    </font>
    <font>
      <sz val="9"/>
      <color indexed="18"/>
      <name val="Arial"/>
      <family val="2"/>
    </font>
    <font>
      <b/>
      <sz val="12"/>
      <color indexed="11"/>
      <name val="Arial"/>
      <family val="2"/>
    </font>
    <font>
      <sz val="9"/>
      <color indexed="11"/>
      <name val="Arial"/>
      <family val="2"/>
    </font>
    <font>
      <sz val="10"/>
      <color indexed="11"/>
      <name val="Arial"/>
      <family val="2"/>
    </font>
    <font>
      <b/>
      <sz val="9"/>
      <color indexed="52"/>
      <name val="Arial"/>
      <family val="2"/>
    </font>
    <font>
      <b/>
      <sz val="9"/>
      <color indexed="11"/>
      <name val="Arial"/>
      <family val="2"/>
    </font>
    <font>
      <b/>
      <sz val="9"/>
      <name val="Arial"/>
      <family val="0"/>
    </font>
    <font>
      <sz val="9"/>
      <color indexed="8"/>
      <name val="Arial"/>
      <family val="2"/>
    </font>
    <font>
      <b/>
      <sz val="9"/>
      <color indexed="9"/>
      <name val="Arial"/>
      <family val="2"/>
    </font>
    <font>
      <sz val="9"/>
      <color indexed="9"/>
      <name val="Arial"/>
      <family val="2"/>
    </font>
    <font>
      <b/>
      <sz val="10"/>
      <color indexed="52"/>
      <name val="Arial"/>
      <family val="2"/>
    </font>
    <font>
      <b/>
      <sz val="9"/>
      <color indexed="8"/>
      <name val="Arial"/>
      <family val="0"/>
    </font>
    <font>
      <sz val="8"/>
      <color indexed="8"/>
      <name val="Arial"/>
      <family val="2"/>
    </font>
    <font>
      <sz val="10"/>
      <color indexed="8"/>
      <name val="Arial"/>
      <family val="2"/>
    </font>
    <font>
      <sz val="9"/>
      <color indexed="27"/>
      <name val="Arial"/>
      <family val="2"/>
    </font>
    <font>
      <b/>
      <sz val="9"/>
      <color indexed="41"/>
      <name val="Arial"/>
      <family val="2"/>
    </font>
    <font>
      <sz val="9"/>
      <color indexed="41"/>
      <name val="Arial"/>
      <family val="2"/>
    </font>
    <font>
      <sz val="8"/>
      <name val="Tahoma"/>
      <family val="0"/>
    </font>
    <font>
      <b/>
      <vertAlign val="subscript"/>
      <sz val="12"/>
      <name val="Arial"/>
      <family val="2"/>
    </font>
    <font>
      <b/>
      <sz val="18"/>
      <color indexed="8"/>
      <name val="Arial"/>
      <family val="2"/>
    </font>
    <font>
      <b/>
      <i/>
      <sz val="9"/>
      <color indexed="8"/>
      <name val="Arial"/>
      <family val="2"/>
    </font>
    <font>
      <b/>
      <sz val="8"/>
      <color indexed="8"/>
      <name val="Arial"/>
      <family val="2"/>
    </font>
    <font>
      <b/>
      <sz val="10"/>
      <color indexed="8"/>
      <name val="Arial"/>
      <family val="2"/>
    </font>
    <font>
      <b/>
      <sz val="18"/>
      <color indexed="10"/>
      <name val="Arial"/>
      <family val="2"/>
    </font>
    <font>
      <sz val="11"/>
      <name val="Arial"/>
      <family val="2"/>
    </font>
    <font>
      <sz val="10"/>
      <color indexed="10"/>
      <name val="Arial"/>
      <family val="2"/>
    </font>
    <font>
      <i/>
      <sz val="11"/>
      <name val="Arial"/>
      <family val="2"/>
    </font>
    <font>
      <b/>
      <sz val="11"/>
      <color indexed="8"/>
      <name val="Arial"/>
      <family val="2"/>
    </font>
    <font>
      <sz val="10"/>
      <name val="Tahoma"/>
      <family val="0"/>
    </font>
    <font>
      <b/>
      <sz val="10"/>
      <name val="Tahoma"/>
      <family val="0"/>
    </font>
    <font>
      <sz val="11"/>
      <color indexed="16"/>
      <name val="Arial"/>
      <family val="2"/>
    </font>
    <font>
      <sz val="10"/>
      <color indexed="16"/>
      <name val="Arial"/>
      <family val="2"/>
    </font>
    <font>
      <vertAlign val="subscript"/>
      <sz val="9"/>
      <name val="Arial"/>
      <family val="0"/>
    </font>
    <font>
      <sz val="7"/>
      <name val="Arial"/>
      <family val="2"/>
    </font>
    <font>
      <b/>
      <vertAlign val="subscript"/>
      <sz val="14"/>
      <name val="Arial"/>
      <family val="2"/>
    </font>
    <font>
      <b/>
      <vertAlign val="subscript"/>
      <sz val="9"/>
      <name val="Arial"/>
      <family val="2"/>
    </font>
    <font>
      <vertAlign val="subscript"/>
      <sz val="9"/>
      <color indexed="41"/>
      <name val="Arial"/>
      <family val="2"/>
    </font>
    <font>
      <sz val="10"/>
      <color indexed="44"/>
      <name val="Arial"/>
      <family val="0"/>
    </font>
    <font>
      <i/>
      <sz val="14"/>
      <name val="Arial"/>
      <family val="2"/>
    </font>
    <font>
      <b/>
      <i/>
      <sz val="14"/>
      <name val="Arial"/>
      <family val="2"/>
    </font>
    <font>
      <b/>
      <sz val="14"/>
      <color indexed="62"/>
      <name val="Arial"/>
      <family val="2"/>
    </font>
    <font>
      <b/>
      <sz val="20"/>
      <color indexed="18"/>
      <name val="Arial"/>
      <family val="2"/>
    </font>
    <font>
      <b/>
      <vertAlign val="subscript"/>
      <sz val="20"/>
      <color indexed="18"/>
      <name val="Arial"/>
      <family val="2"/>
    </font>
    <font>
      <sz val="20"/>
      <color indexed="18"/>
      <name val="Arial"/>
      <family val="2"/>
    </font>
    <font>
      <vertAlign val="subscript"/>
      <sz val="11"/>
      <name val="Arial"/>
      <family val="2"/>
    </font>
    <font>
      <b/>
      <u val="single"/>
      <vertAlign val="subscript"/>
      <sz val="16"/>
      <name val="Arial"/>
      <family val="2"/>
    </font>
    <font>
      <vertAlign val="subscript"/>
      <sz val="14"/>
      <name val="Arial"/>
      <family val="2"/>
    </font>
    <font>
      <b/>
      <vertAlign val="subscript"/>
      <sz val="14"/>
      <color indexed="62"/>
      <name val="Arial"/>
      <family val="2"/>
    </font>
    <font>
      <vertAlign val="superscript"/>
      <sz val="10"/>
      <color indexed="10"/>
      <name val="Arial"/>
      <family val="2"/>
    </font>
    <font>
      <vertAlign val="superscript"/>
      <sz val="10"/>
      <name val="Arial"/>
      <family val="2"/>
    </font>
  </fonts>
  <fills count="1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24"/>
        <bgColor indexed="64"/>
      </patternFill>
    </fill>
    <fill>
      <patternFill patternType="solid">
        <fgColor indexed="62"/>
        <bgColor indexed="64"/>
      </patternFill>
    </fill>
    <fill>
      <patternFill patternType="solid">
        <fgColor indexed="18"/>
        <bgColor indexed="64"/>
      </patternFill>
    </fill>
    <fill>
      <patternFill patternType="solid">
        <fgColor indexed="41"/>
        <bgColor indexed="64"/>
      </patternFill>
    </fill>
    <fill>
      <patternFill patternType="solid">
        <fgColor indexed="63"/>
        <bgColor indexed="64"/>
      </patternFill>
    </fill>
  </fills>
  <borders count="105">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color indexed="63"/>
      </left>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style="thin"/>
      <right style="thin"/>
      <top style="thin"/>
      <bottom style="double"/>
    </border>
    <border>
      <left style="double"/>
      <right style="thin"/>
      <top style="double"/>
      <bottom style="thin"/>
    </border>
    <border>
      <left style="double"/>
      <right style="thin"/>
      <top style="thin"/>
      <bottom style="thin"/>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double"/>
      <top style="thin"/>
      <bottom style="thin"/>
    </border>
    <border>
      <left>
        <color indexed="63"/>
      </left>
      <right>
        <color indexed="63"/>
      </right>
      <top style="thin"/>
      <bottom style="thin"/>
    </border>
    <border>
      <left>
        <color indexed="63"/>
      </left>
      <right>
        <color indexed="63"/>
      </right>
      <top style="double"/>
      <bottom style="thin"/>
    </border>
    <border>
      <left>
        <color indexed="63"/>
      </left>
      <right>
        <color indexed="63"/>
      </right>
      <top style="medium">
        <color indexed="9"/>
      </top>
      <bottom style="medium">
        <color indexed="9"/>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style="thin"/>
      <top style="thin"/>
      <bottom style="thick"/>
    </border>
    <border>
      <left style="thin"/>
      <right>
        <color indexed="63"/>
      </right>
      <top style="thin"/>
      <bottom style="thick"/>
    </border>
    <border>
      <left>
        <color indexed="63"/>
      </left>
      <right style="thin"/>
      <top style="thin"/>
      <bottom style="thick"/>
    </border>
    <border>
      <left>
        <color indexed="63"/>
      </left>
      <right style="thin"/>
      <top style="thin"/>
      <bottom>
        <color indexed="63"/>
      </bottom>
    </border>
    <border>
      <left>
        <color indexed="63"/>
      </left>
      <right>
        <color indexed="63"/>
      </right>
      <top style="thin"/>
      <bottom style="double"/>
    </border>
    <border>
      <left>
        <color indexed="63"/>
      </left>
      <right>
        <color indexed="63"/>
      </right>
      <top style="medium">
        <color indexed="62"/>
      </top>
      <bottom style="medium">
        <color indexed="62"/>
      </bottom>
    </border>
    <border>
      <left>
        <color indexed="63"/>
      </left>
      <right style="double"/>
      <top style="medium">
        <color indexed="9"/>
      </top>
      <bottom style="medium">
        <color indexed="9"/>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medium">
        <color indexed="40"/>
      </top>
      <bottom>
        <color indexed="63"/>
      </bottom>
    </border>
    <border>
      <left>
        <color indexed="63"/>
      </left>
      <right style="thin"/>
      <top style="medium">
        <color indexed="40"/>
      </top>
      <bottom>
        <color indexed="63"/>
      </bottom>
    </border>
    <border>
      <left>
        <color indexed="63"/>
      </left>
      <right style="thin"/>
      <top>
        <color indexed="63"/>
      </top>
      <bottom style="thick">
        <color indexed="10"/>
      </bottom>
    </border>
    <border>
      <left>
        <color indexed="63"/>
      </left>
      <right style="thin"/>
      <top style="thick">
        <color indexed="10"/>
      </top>
      <bottom>
        <color indexed="63"/>
      </bottom>
    </border>
    <border>
      <left>
        <color indexed="63"/>
      </left>
      <right>
        <color indexed="63"/>
      </right>
      <top style="thick">
        <color indexed="10"/>
      </top>
      <bottom style="medium">
        <color indexed="62"/>
      </bottom>
    </border>
    <border>
      <left>
        <color indexed="63"/>
      </left>
      <right>
        <color indexed="63"/>
      </right>
      <top style="medium">
        <color indexed="62"/>
      </top>
      <bottom style="thick">
        <color indexed="10"/>
      </bottom>
    </border>
    <border>
      <left style="thin"/>
      <right style="double"/>
      <top>
        <color indexed="63"/>
      </top>
      <bottom>
        <color indexed="63"/>
      </bottom>
    </border>
    <border>
      <left style="medium"/>
      <right style="thin"/>
      <top style="medium"/>
      <bottom style="medium"/>
    </border>
    <border>
      <left style="medium"/>
      <right style="medium"/>
      <top style="medium"/>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medium"/>
      <right style="medium"/>
      <top style="medium"/>
      <bottom style="medium"/>
    </border>
    <border>
      <left style="medium"/>
      <right style="medium"/>
      <top>
        <color indexed="63"/>
      </top>
      <bottom style="thin"/>
    </border>
    <border>
      <left style="thin"/>
      <right style="thin"/>
      <top style="medium"/>
      <bottom>
        <color indexed="63"/>
      </bottom>
    </border>
    <border>
      <left>
        <color indexed="63"/>
      </left>
      <right>
        <color indexed="63"/>
      </right>
      <top>
        <color indexed="63"/>
      </top>
      <bottom style="medium">
        <color indexed="9"/>
      </bottom>
    </border>
    <border>
      <left style="thin"/>
      <right style="medium"/>
      <top style="medium"/>
      <bottom>
        <color indexed="63"/>
      </botto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thin"/>
    </border>
    <border>
      <left style="thin"/>
      <right style="thin"/>
      <top>
        <color indexed="63"/>
      </top>
      <bottom style="medium"/>
    </border>
    <border>
      <left>
        <color indexed="63"/>
      </left>
      <right>
        <color indexed="63"/>
      </right>
      <top style="medium">
        <color indexed="9"/>
      </top>
      <bottom>
        <color indexed="63"/>
      </bottom>
    </border>
    <border>
      <left style="thin"/>
      <right style="medium"/>
      <top style="medium"/>
      <bottom style="thin"/>
    </border>
    <border>
      <left>
        <color indexed="63"/>
      </left>
      <right style="thin"/>
      <top style="thin"/>
      <bottom style="double"/>
    </border>
    <border>
      <left style="thin"/>
      <right style="double"/>
      <top style="thin"/>
      <bottom style="double"/>
    </border>
    <border>
      <left style="double"/>
      <right style="thin"/>
      <top style="double"/>
      <bottom style="double"/>
    </border>
    <border>
      <left style="medium"/>
      <right style="thin"/>
      <top style="medium"/>
      <bottom style="thin"/>
    </border>
    <border>
      <left style="thin"/>
      <right>
        <color indexed="63"/>
      </right>
      <top>
        <color indexed="63"/>
      </top>
      <bottom style="double"/>
    </border>
    <border>
      <left style="medium"/>
      <right style="double"/>
      <top style="medium"/>
      <bottom style="medium"/>
    </border>
    <border>
      <left style="medium"/>
      <right style="double"/>
      <top style="thin"/>
      <bottom style="thin"/>
    </border>
    <border>
      <left style="medium"/>
      <right style="double"/>
      <top>
        <color indexed="63"/>
      </top>
      <bottom style="thin"/>
    </border>
    <border>
      <left style="medium"/>
      <right style="double"/>
      <top style="thin"/>
      <bottom style="medium"/>
    </border>
    <border>
      <left style="thin"/>
      <right style="thin"/>
      <top style="double"/>
      <bottom style="thin"/>
    </border>
    <border>
      <left style="thin"/>
      <right style="double"/>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medium">
        <color indexed="9"/>
      </bottom>
    </border>
    <border>
      <left>
        <color indexed="63"/>
      </left>
      <right>
        <color indexed="63"/>
      </right>
      <top>
        <color indexed="63"/>
      </top>
      <bottom style="medium">
        <color indexed="40"/>
      </bottom>
    </border>
    <border>
      <left>
        <color indexed="63"/>
      </left>
      <right style="thin"/>
      <top>
        <color indexed="63"/>
      </top>
      <bottom style="medium">
        <color indexed="40"/>
      </bottom>
    </border>
    <border>
      <left style="double"/>
      <right>
        <color indexed="63"/>
      </right>
      <top style="thin"/>
      <bottom style="double"/>
    </border>
    <border>
      <left>
        <color indexed="63"/>
      </left>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horizontal="center" vertical="center" wrapText="1"/>
      <protection/>
    </xf>
    <xf numFmtId="3" fontId="0" fillId="0" borderId="0" applyFont="0" applyFill="0" applyBorder="0" applyAlignment="0" applyProtection="0"/>
    <xf numFmtId="0" fontId="31" fillId="0" borderId="0">
      <alignment horizontal="left" vertical="center" wrapText="1"/>
      <protection/>
    </xf>
    <xf numFmtId="177" fontId="0" fillId="0" borderId="0" applyFont="0" applyFill="0" applyBorder="0" applyAlignment="0" applyProtection="0"/>
    <xf numFmtId="3" fontId="32" fillId="0" borderId="1" applyAlignment="0">
      <protection/>
    </xf>
    <xf numFmtId="181" fontId="32" fillId="0" borderId="1">
      <alignment horizontal="right" vertical="center"/>
      <protection/>
    </xf>
    <xf numFmtId="49" fontId="33" fillId="0" borderId="1">
      <alignment horizontal="left" vertical="center"/>
      <protection/>
    </xf>
    <xf numFmtId="179" fontId="34" fillId="0" borderId="1" applyNumberFormat="0" applyFill="0">
      <alignment horizontal="right"/>
      <protection/>
    </xf>
    <xf numFmtId="180" fontId="34"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35" fillId="0" borderId="1">
      <alignment horizontal="left"/>
      <protection/>
    </xf>
    <xf numFmtId="0" fontId="35" fillId="0" borderId="2">
      <alignment horizontal="right" vertical="center"/>
      <protection/>
    </xf>
    <xf numFmtId="0" fontId="36" fillId="0" borderId="1">
      <alignment horizontal="left" vertical="center"/>
      <protection/>
    </xf>
    <xf numFmtId="0" fontId="34" fillId="0" borderId="1">
      <alignment horizontal="left" vertical="center"/>
      <protection/>
    </xf>
    <xf numFmtId="0" fontId="37" fillId="0" borderId="1">
      <alignment horizontal="left"/>
      <protection/>
    </xf>
    <xf numFmtId="0" fontId="37" fillId="2" borderId="0">
      <alignment horizontal="centerContinuous" wrapText="1"/>
      <protection/>
    </xf>
    <xf numFmtId="49" fontId="37" fillId="2" borderId="3">
      <alignment horizontal="left" vertical="center"/>
      <protection/>
    </xf>
    <xf numFmtId="0" fontId="37" fillId="2" borderId="0">
      <alignment horizontal="centerContinuous" vertical="center" wrapText="1"/>
      <protection/>
    </xf>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3" fontId="32" fillId="0" borderId="0">
      <alignment horizontal="left" vertical="center"/>
      <protection/>
    </xf>
    <xf numFmtId="0" fontId="30" fillId="0" borderId="0">
      <alignment horizontal="left" vertical="center"/>
      <protection/>
    </xf>
    <xf numFmtId="0" fontId="38" fillId="0" borderId="0">
      <alignment horizontal="right"/>
      <protection/>
    </xf>
    <xf numFmtId="49" fontId="38" fillId="0" borderId="0">
      <alignment horizontal="center"/>
      <protection/>
    </xf>
    <xf numFmtId="0" fontId="33" fillId="0" borderId="0">
      <alignment horizontal="right"/>
      <protection/>
    </xf>
    <xf numFmtId="0" fontId="38" fillId="0" borderId="0">
      <alignment horizontal="left"/>
      <protection/>
    </xf>
    <xf numFmtId="49" fontId="32" fillId="0" borderId="0">
      <alignment horizontal="left" vertical="center"/>
      <protection/>
    </xf>
    <xf numFmtId="49" fontId="33" fillId="0" borderId="1">
      <alignment horizontal="left" vertical="center"/>
      <protection/>
    </xf>
    <xf numFmtId="49" fontId="30" fillId="0" borderId="1" applyFill="0">
      <alignment horizontal="left" vertical="center"/>
      <protection/>
    </xf>
    <xf numFmtId="49" fontId="33" fillId="0" borderId="1">
      <alignment horizontal="left"/>
      <protection/>
    </xf>
    <xf numFmtId="179" fontId="32" fillId="0" borderId="0" applyNumberFormat="0">
      <alignment horizontal="right"/>
      <protection/>
    </xf>
    <xf numFmtId="0" fontId="35" fillId="3" borderId="0">
      <alignment horizontal="centerContinuous" vertical="center" wrapText="1"/>
      <protection/>
    </xf>
    <xf numFmtId="0" fontId="35" fillId="0" borderId="4">
      <alignment horizontal="left" vertical="center"/>
      <protection/>
    </xf>
    <xf numFmtId="0" fontId="39" fillId="0" borderId="0">
      <alignment horizontal="left" vertical="top"/>
      <protection/>
    </xf>
    <xf numFmtId="0" fontId="37" fillId="0" borderId="0">
      <alignment horizontal="left"/>
      <protection/>
    </xf>
    <xf numFmtId="0" fontId="31" fillId="0" borderId="0">
      <alignment horizontal="left"/>
      <protection/>
    </xf>
    <xf numFmtId="0" fontId="34" fillId="0" borderId="0">
      <alignment horizontal="left"/>
      <protection/>
    </xf>
    <xf numFmtId="0" fontId="39" fillId="0" borderId="0">
      <alignment horizontal="left" vertical="top"/>
      <protection/>
    </xf>
    <xf numFmtId="0" fontId="31" fillId="0" borderId="0">
      <alignment horizontal="left"/>
      <protection/>
    </xf>
    <xf numFmtId="0" fontId="34" fillId="0" borderId="0">
      <alignment horizontal="left"/>
      <protection/>
    </xf>
    <xf numFmtId="0" fontId="0" fillId="0" borderId="5" applyNumberFormat="0" applyFont="0" applyFill="0" applyAlignment="0" applyProtection="0"/>
    <xf numFmtId="49" fontId="32" fillId="0" borderId="1">
      <alignment horizontal="left"/>
      <protection/>
    </xf>
    <xf numFmtId="0" fontId="35" fillId="0" borderId="2">
      <alignment horizontal="left"/>
      <protection/>
    </xf>
    <xf numFmtId="0" fontId="37" fillId="0" borderId="0">
      <alignment horizontal="left" vertical="center"/>
      <protection/>
    </xf>
    <xf numFmtId="49" fontId="38" fillId="0" borderId="1">
      <alignment horizontal="left"/>
      <protection/>
    </xf>
  </cellStyleXfs>
  <cellXfs count="1335">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4" fontId="2" fillId="0" borderId="6" xfId="0" applyNumberFormat="1" applyFont="1" applyFill="1" applyBorder="1" applyAlignment="1">
      <alignment horizontal="center" vertical="center"/>
    </xf>
    <xf numFmtId="0" fontId="0" fillId="0" borderId="0" xfId="0" applyFill="1" applyAlignment="1">
      <alignment/>
    </xf>
    <xf numFmtId="4" fontId="0" fillId="0" borderId="7" xfId="0" applyNumberFormat="1" applyFill="1" applyBorder="1" applyAlignment="1">
      <alignment horizontal="center" vertical="center" wrapText="1"/>
    </xf>
    <xf numFmtId="4" fontId="0" fillId="0" borderId="6" xfId="0" applyNumberFormat="1" applyFont="1" applyFill="1" applyBorder="1" applyAlignment="1">
      <alignment horizontal="center" vertical="center" wrapText="1"/>
    </xf>
    <xf numFmtId="4" fontId="0" fillId="0" borderId="6" xfId="0" applyNumberFormat="1" applyFill="1" applyBorder="1" applyAlignment="1">
      <alignment horizontal="center" vertical="center"/>
    </xf>
    <xf numFmtId="4" fontId="0" fillId="0" borderId="6" xfId="0" applyNumberFormat="1" applyFill="1" applyBorder="1" applyAlignment="1">
      <alignment horizontal="center" vertical="center" wrapText="1"/>
    </xf>
    <xf numFmtId="4" fontId="0" fillId="0" borderId="8" xfId="0" applyNumberFormat="1" applyFill="1" applyBorder="1" applyAlignment="1">
      <alignment horizontal="center" vertical="center"/>
    </xf>
    <xf numFmtId="4" fontId="4" fillId="4" borderId="6"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2" fontId="4" fillId="4" borderId="6" xfId="0" applyNumberFormat="1"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6" fillId="0" borderId="0" xfId="0" applyFont="1" applyFill="1" applyAlignment="1">
      <alignment/>
    </xf>
    <xf numFmtId="0" fontId="7" fillId="0" borderId="0" xfId="0" applyFont="1" applyAlignment="1">
      <alignment/>
    </xf>
    <xf numFmtId="4" fontId="2" fillId="0" borderId="9"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0" fillId="0" borderId="0" xfId="0" applyFill="1" applyBorder="1" applyAlignment="1">
      <alignment horizontal="left"/>
    </xf>
    <xf numFmtId="2" fontId="0" fillId="4" borderId="6" xfId="0" applyNumberFormat="1" applyFill="1" applyBorder="1" applyAlignment="1">
      <alignment horizontal="center" vertical="center" wrapText="1"/>
    </xf>
    <xf numFmtId="0" fontId="2" fillId="0" borderId="0" xfId="0" applyFont="1" applyAlignment="1">
      <alignment/>
    </xf>
    <xf numFmtId="4" fontId="2" fillId="0" borderId="6" xfId="0" applyNumberFormat="1" applyFont="1" applyBorder="1" applyAlignment="1">
      <alignment horizontal="center" vertical="top"/>
    </xf>
    <xf numFmtId="4" fontId="0" fillId="4" borderId="6" xfId="0" applyNumberFormat="1" applyFont="1" applyFill="1" applyBorder="1" applyAlignment="1">
      <alignment horizontal="center" vertical="top"/>
    </xf>
    <xf numFmtId="4" fontId="0" fillId="5" borderId="6" xfId="0" applyNumberFormat="1" applyFont="1" applyFill="1" applyBorder="1" applyAlignment="1">
      <alignment vertical="top"/>
    </xf>
    <xf numFmtId="4" fontId="0" fillId="0" borderId="6" xfId="0" applyNumberFormat="1" applyBorder="1" applyAlignment="1">
      <alignment horizontal="center" vertical="top"/>
    </xf>
    <xf numFmtId="4" fontId="0" fillId="4" borderId="6" xfId="0" applyNumberFormat="1" applyFill="1" applyBorder="1" applyAlignment="1">
      <alignment horizontal="center" vertical="top"/>
    </xf>
    <xf numFmtId="0" fontId="13" fillId="0" borderId="0" xfId="0" applyFont="1" applyAlignment="1">
      <alignment/>
    </xf>
    <xf numFmtId="0" fontId="1" fillId="0" borderId="0" xfId="0" applyFont="1" applyFill="1" applyAlignment="1">
      <alignment horizontal="center" vertical="center"/>
    </xf>
    <xf numFmtId="0" fontId="0" fillId="0" borderId="0" xfId="0" applyFont="1" applyAlignment="1">
      <alignment/>
    </xf>
    <xf numFmtId="4"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0" fillId="0" borderId="0" xfId="0" applyBorder="1" applyAlignment="1">
      <alignment/>
    </xf>
    <xf numFmtId="4" fontId="2" fillId="0" borderId="6"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 fontId="4" fillId="4"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0" borderId="0" xfId="0" applyFill="1" applyAlignment="1">
      <alignment horizontal="center" vertical="center"/>
    </xf>
    <xf numFmtId="0" fontId="17" fillId="0" borderId="0" xfId="0" applyFont="1" applyFill="1" applyAlignment="1">
      <alignment/>
    </xf>
    <xf numFmtId="0" fontId="0" fillId="5" borderId="6" xfId="0" applyFill="1" applyBorder="1" applyAlignment="1">
      <alignment horizontal="center" vertical="center"/>
    </xf>
    <xf numFmtId="0" fontId="2" fillId="0" borderId="6" xfId="0" applyFont="1" applyFill="1" applyBorder="1" applyAlignment="1">
      <alignment horizontal="center" vertical="center"/>
    </xf>
    <xf numFmtId="0" fontId="0" fillId="0" borderId="6" xfId="0" applyFill="1" applyBorder="1" applyAlignment="1">
      <alignment horizontal="center" vertical="center" wrapText="1"/>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2" fontId="0" fillId="4" borderId="6" xfId="0" applyNumberFormat="1" applyFill="1" applyBorder="1" applyAlignment="1" applyProtection="1">
      <alignment horizontal="center" vertical="center"/>
      <protection/>
    </xf>
    <xf numFmtId="0" fontId="0" fillId="4" borderId="6" xfId="0" applyFill="1" applyBorder="1" applyAlignment="1" applyProtection="1">
      <alignment horizontal="center" vertical="center"/>
      <protection/>
    </xf>
    <xf numFmtId="0" fontId="2" fillId="0" borderId="6" xfId="0" applyFont="1" applyFill="1" applyBorder="1" applyAlignment="1" applyProtection="1">
      <alignment horizontal="center" vertical="center" wrapText="1"/>
      <protection/>
    </xf>
    <xf numFmtId="2" fontId="0" fillId="6" borderId="6" xfId="0" applyNumberFormat="1" applyFont="1" applyFill="1" applyBorder="1" applyAlignment="1">
      <alignment horizontal="center" vertical="center"/>
    </xf>
    <xf numFmtId="2" fontId="2" fillId="0" borderId="6" xfId="0" applyNumberFormat="1" applyFont="1" applyFill="1" applyBorder="1" applyAlignment="1" applyProtection="1">
      <alignment horizontal="center" vertical="center" wrapText="1"/>
      <protection/>
    </xf>
    <xf numFmtId="2" fontId="0" fillId="6" borderId="6" xfId="0" applyNumberFormat="1" applyFont="1" applyFill="1" applyBorder="1" applyAlignment="1" applyProtection="1">
      <alignment horizontal="center" vertical="center"/>
      <protection/>
    </xf>
    <xf numFmtId="2" fontId="0" fillId="6" borderId="6" xfId="0" applyNumberFormat="1" applyFont="1" applyFill="1" applyBorder="1" applyAlignment="1">
      <alignment horizontal="center" vertical="center" wrapText="1"/>
    </xf>
    <xf numFmtId="0" fontId="0" fillId="7" borderId="11" xfId="0" applyFill="1" applyBorder="1" applyAlignment="1">
      <alignment/>
    </xf>
    <xf numFmtId="0" fontId="0" fillId="7" borderId="5"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49" fontId="6" fillId="0" borderId="0" xfId="0" applyNumberFormat="1" applyFont="1" applyFill="1" applyAlignment="1">
      <alignment/>
    </xf>
    <xf numFmtId="49" fontId="0" fillId="0" borderId="0" xfId="0" applyNumberFormat="1" applyFill="1" applyBorder="1" applyAlignment="1">
      <alignment/>
    </xf>
    <xf numFmtId="49" fontId="6" fillId="0" borderId="0" xfId="0" applyNumberFormat="1" applyFont="1" applyFill="1" applyBorder="1" applyAlignment="1">
      <alignment horizontal="left" vertical="center"/>
    </xf>
    <xf numFmtId="49" fontId="0" fillId="0" borderId="0" xfId="0" applyNumberFormat="1" applyFill="1" applyAlignment="1">
      <alignment/>
    </xf>
    <xf numFmtId="2" fontId="0" fillId="7" borderId="0" xfId="0" applyNumberFormat="1" applyFill="1" applyBorder="1" applyAlignment="1">
      <alignment horizontal="center" vertical="center" wrapText="1"/>
    </xf>
    <xf numFmtId="0" fontId="1" fillId="0" borderId="0" xfId="0" applyFont="1" applyFill="1" applyAlignment="1">
      <alignment horizontal="left" vertical="center"/>
    </xf>
    <xf numFmtId="0" fontId="0" fillId="7" borderId="0" xfId="0" applyFill="1" applyBorder="1" applyAlignment="1">
      <alignment/>
    </xf>
    <xf numFmtId="4" fontId="0" fillId="7" borderId="15" xfId="0" applyNumberFormat="1" applyFont="1" applyFill="1" applyBorder="1" applyAlignment="1">
      <alignment/>
    </xf>
    <xf numFmtId="0" fontId="0" fillId="7" borderId="13" xfId="0" applyFill="1" applyBorder="1" applyAlignment="1">
      <alignment wrapText="1"/>
    </xf>
    <xf numFmtId="4" fontId="0" fillId="7" borderId="0" xfId="0" applyNumberFormat="1" applyFill="1" applyBorder="1" applyAlignment="1">
      <alignment/>
    </xf>
    <xf numFmtId="2" fontId="0" fillId="7" borderId="6" xfId="0" applyNumberFormat="1" applyFont="1" applyFill="1" applyBorder="1" applyAlignment="1">
      <alignment horizontal="center" vertical="center" wrapText="1"/>
    </xf>
    <xf numFmtId="3" fontId="0" fillId="7" borderId="14" xfId="0" applyNumberFormat="1" applyFont="1" applyFill="1" applyBorder="1" applyAlignment="1">
      <alignment horizontal="center" vertical="center" wrapText="1"/>
    </xf>
    <xf numFmtId="4" fontId="2" fillId="7" borderId="14" xfId="0" applyNumberFormat="1" applyFont="1" applyFill="1" applyBorder="1" applyAlignment="1">
      <alignment horizontal="center" vertical="center"/>
    </xf>
    <xf numFmtId="4" fontId="2" fillId="7" borderId="14" xfId="0" applyNumberFormat="1" applyFont="1" applyFill="1" applyBorder="1" applyAlignment="1">
      <alignment horizontal="center" vertical="center" wrapText="1"/>
    </xf>
    <xf numFmtId="4" fontId="0" fillId="7" borderId="14" xfId="0" applyNumberFormat="1" applyFill="1" applyBorder="1" applyAlignment="1">
      <alignment horizontal="center" vertical="center" wrapText="1"/>
    </xf>
    <xf numFmtId="2" fontId="4" fillId="7" borderId="14" xfId="0" applyNumberFormat="1" applyFont="1" applyFill="1" applyBorder="1" applyAlignment="1">
      <alignment horizontal="center" vertical="center" wrapText="1"/>
    </xf>
    <xf numFmtId="2" fontId="0" fillId="7" borderId="14" xfId="0" applyNumberFormat="1" applyFont="1" applyFill="1" applyBorder="1" applyAlignment="1">
      <alignment horizontal="center" vertical="center" wrapText="1"/>
    </xf>
    <xf numFmtId="0" fontId="6" fillId="7" borderId="14" xfId="0" applyFont="1" applyFill="1" applyBorder="1" applyAlignment="1">
      <alignment/>
    </xf>
    <xf numFmtId="0" fontId="0" fillId="7" borderId="16" xfId="0" applyFill="1" applyBorder="1" applyAlignment="1">
      <alignment/>
    </xf>
    <xf numFmtId="0" fontId="1" fillId="7" borderId="13" xfId="0" applyFont="1" applyFill="1" applyBorder="1" applyAlignment="1">
      <alignment/>
    </xf>
    <xf numFmtId="0" fontId="1" fillId="7" borderId="0" xfId="0" applyFont="1" applyFill="1" applyBorder="1" applyAlignment="1">
      <alignment/>
    </xf>
    <xf numFmtId="0" fontId="0" fillId="7" borderId="17" xfId="0" applyFill="1" applyBorder="1" applyAlignment="1">
      <alignment/>
    </xf>
    <xf numFmtId="0" fontId="0" fillId="7" borderId="18" xfId="0" applyFill="1" applyBorder="1" applyAlignment="1">
      <alignment/>
    </xf>
    <xf numFmtId="0" fontId="4" fillId="7" borderId="13" xfId="0" applyFont="1" applyFill="1" applyBorder="1" applyAlignment="1">
      <alignment/>
    </xf>
    <xf numFmtId="4" fontId="0" fillId="7" borderId="19" xfId="0" applyNumberFormat="1" applyFill="1" applyBorder="1" applyAlignment="1">
      <alignment/>
    </xf>
    <xf numFmtId="2" fontId="0" fillId="7" borderId="6" xfId="0" applyNumberFormat="1" applyFill="1" applyBorder="1" applyAlignment="1">
      <alignment horizontal="center" vertical="center" wrapText="1"/>
    </xf>
    <xf numFmtId="0" fontId="0" fillId="7" borderId="12" xfId="0" applyFill="1" applyBorder="1" applyAlignment="1">
      <alignment horizontal="center" vertical="center"/>
    </xf>
    <xf numFmtId="0" fontId="0" fillId="7" borderId="14" xfId="0" applyFill="1" applyBorder="1" applyAlignment="1">
      <alignment horizontal="center" vertical="center"/>
    </xf>
    <xf numFmtId="0" fontId="0" fillId="7" borderId="11" xfId="0" applyFill="1" applyBorder="1" applyAlignment="1">
      <alignment horizontal="center" vertical="center"/>
    </xf>
    <xf numFmtId="0" fontId="0" fillId="7" borderId="5" xfId="0" applyFill="1" applyBorder="1" applyAlignment="1">
      <alignment horizontal="center" vertical="center"/>
    </xf>
    <xf numFmtId="0" fontId="0" fillId="7" borderId="13" xfId="0" applyFill="1" applyBorder="1" applyAlignment="1">
      <alignment horizontal="center" vertical="center"/>
    </xf>
    <xf numFmtId="0" fontId="2" fillId="7" borderId="0" xfId="0" applyFont="1" applyFill="1" applyAlignment="1">
      <alignment horizontal="center" vertical="center"/>
    </xf>
    <xf numFmtId="0" fontId="0" fillId="7" borderId="0" xfId="0" applyFill="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1" fillId="7" borderId="13" xfId="0" applyFont="1" applyFill="1" applyBorder="1" applyAlignment="1">
      <alignment horizontal="center" vertical="center"/>
    </xf>
    <xf numFmtId="0" fontId="0" fillId="7" borderId="0" xfId="0" applyFill="1" applyBorder="1" applyAlignment="1">
      <alignment horizontal="center" vertical="center"/>
    </xf>
    <xf numFmtId="4" fontId="1" fillId="7" borderId="0" xfId="0" applyNumberFormat="1" applyFont="1" applyFill="1" applyBorder="1" applyAlignment="1">
      <alignment horizontal="center" vertical="center"/>
    </xf>
    <xf numFmtId="49" fontId="1" fillId="7" borderId="0" xfId="0" applyNumberFormat="1" applyFont="1" applyFill="1" applyBorder="1" applyAlignment="1">
      <alignment horizontal="center" vertical="center"/>
    </xf>
    <xf numFmtId="0" fontId="1" fillId="7" borderId="14" xfId="0" applyFont="1" applyFill="1" applyBorder="1" applyAlignment="1">
      <alignment horizontal="center" vertical="center"/>
    </xf>
    <xf numFmtId="0" fontId="0" fillId="7" borderId="14" xfId="0" applyFont="1" applyFill="1" applyBorder="1" applyAlignment="1">
      <alignment/>
    </xf>
    <xf numFmtId="0" fontId="2" fillId="7" borderId="0" xfId="0" applyFont="1" applyFill="1" applyBorder="1" applyAlignment="1">
      <alignment/>
    </xf>
    <xf numFmtId="49" fontId="0" fillId="7" borderId="5" xfId="0" applyNumberFormat="1" applyFill="1" applyBorder="1" applyAlignment="1">
      <alignment/>
    </xf>
    <xf numFmtId="4" fontId="0" fillId="7" borderId="0" xfId="0" applyNumberFormat="1" applyFont="1" applyFill="1" applyBorder="1" applyAlignment="1">
      <alignment horizontal="right" vertical="center"/>
    </xf>
    <xf numFmtId="49" fontId="0" fillId="7" borderId="0" xfId="0" applyNumberFormat="1" applyFont="1" applyFill="1" applyBorder="1" applyAlignment="1">
      <alignment horizontal="left" vertical="center"/>
    </xf>
    <xf numFmtId="49" fontId="0" fillId="7" borderId="18" xfId="0" applyNumberFormat="1" applyFill="1" applyBorder="1" applyAlignment="1">
      <alignment/>
    </xf>
    <xf numFmtId="0" fontId="4" fillId="7" borderId="14" xfId="0" applyFont="1" applyFill="1" applyBorder="1" applyAlignment="1">
      <alignment/>
    </xf>
    <xf numFmtId="0" fontId="1" fillId="7" borderId="14" xfId="0" applyFont="1" applyFill="1" applyBorder="1" applyAlignment="1">
      <alignment/>
    </xf>
    <xf numFmtId="2" fontId="0" fillId="0" borderId="6" xfId="0" applyNumberFormat="1" applyFont="1" applyFill="1" applyBorder="1" applyAlignment="1" applyProtection="1">
      <alignment horizontal="center" vertical="center"/>
      <protection/>
    </xf>
    <xf numFmtId="4" fontId="0" fillId="7" borderId="10" xfId="0" applyNumberFormat="1" applyFont="1" applyFill="1" applyBorder="1" applyAlignment="1">
      <alignment horizontal="center" vertical="top"/>
    </xf>
    <xf numFmtId="4" fontId="0" fillId="7" borderId="6" xfId="0" applyNumberFormat="1" applyFont="1" applyFill="1" applyBorder="1" applyAlignment="1">
      <alignment horizontal="center" vertical="top"/>
    </xf>
    <xf numFmtId="4" fontId="0" fillId="7" borderId="6" xfId="0" applyNumberFormat="1" applyFill="1" applyBorder="1" applyAlignment="1">
      <alignment horizontal="center" vertical="top"/>
    </xf>
    <xf numFmtId="2" fontId="0" fillId="7" borderId="0" xfId="0" applyNumberFormat="1" applyFill="1" applyBorder="1" applyAlignment="1" applyProtection="1">
      <alignment horizontal="center" vertical="center"/>
      <protection/>
    </xf>
    <xf numFmtId="4" fontId="5" fillId="4" borderId="0" xfId="0" applyNumberFormat="1" applyFont="1" applyFill="1" applyBorder="1" applyAlignment="1">
      <alignment vertical="center"/>
    </xf>
    <xf numFmtId="4" fontId="0" fillId="7" borderId="0" xfId="0" applyNumberFormat="1" applyFill="1" applyBorder="1" applyAlignment="1">
      <alignment horizontal="left" vertical="center" wrapText="1"/>
    </xf>
    <xf numFmtId="4" fontId="0" fillId="5" borderId="6" xfId="0" applyNumberFormat="1" applyFill="1" applyBorder="1" applyAlignment="1">
      <alignment/>
    </xf>
    <xf numFmtId="4" fontId="0" fillId="5" borderId="6" xfId="0" applyNumberFormat="1" applyFont="1" applyFill="1" applyBorder="1" applyAlignment="1">
      <alignment/>
    </xf>
    <xf numFmtId="4" fontId="0" fillId="0" borderId="8" xfId="0" applyNumberFormat="1" applyFill="1" applyBorder="1" applyAlignment="1">
      <alignment horizontal="center" vertical="center" wrapText="1"/>
    </xf>
    <xf numFmtId="4" fontId="0" fillId="0" borderId="6" xfId="0" applyNumberFormat="1" applyBorder="1" applyAlignment="1">
      <alignment horizontal="center" vertical="center"/>
    </xf>
    <xf numFmtId="4" fontId="2" fillId="0" borderId="20" xfId="0" applyNumberFormat="1" applyFont="1" applyFill="1" applyBorder="1" applyAlignment="1">
      <alignment horizontal="center" vertical="center"/>
    </xf>
    <xf numFmtId="4" fontId="2" fillId="0" borderId="20"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0" fillId="7" borderId="0" xfId="0" applyFill="1" applyBorder="1" applyAlignment="1">
      <alignment horizontal="left" vertical="center"/>
    </xf>
    <xf numFmtId="4" fontId="0" fillId="5" borderId="6" xfId="0" applyNumberFormat="1" applyFill="1" applyBorder="1" applyAlignment="1">
      <alignment horizontal="center" vertical="center" wrapText="1"/>
    </xf>
    <xf numFmtId="4" fontId="0" fillId="8" borderId="6" xfId="0" applyNumberFormat="1" applyFill="1" applyBorder="1" applyAlignment="1">
      <alignment horizontal="center" vertical="center"/>
    </xf>
    <xf numFmtId="4" fontId="0" fillId="8" borderId="6" xfId="0" applyNumberFormat="1" applyFill="1" applyBorder="1" applyAlignment="1">
      <alignment horizontal="center" vertical="center" wrapText="1"/>
    </xf>
    <xf numFmtId="0" fontId="0" fillId="7" borderId="0" xfId="0" applyFill="1" applyBorder="1" applyAlignment="1">
      <alignment wrapText="1"/>
    </xf>
    <xf numFmtId="3" fontId="0" fillId="0" borderId="6" xfId="0" applyNumberFormat="1" applyFill="1" applyBorder="1" applyAlignment="1">
      <alignment horizontal="center" vertical="center" wrapText="1"/>
    </xf>
    <xf numFmtId="3" fontId="0" fillId="7" borderId="6" xfId="0" applyNumberFormat="1" applyFill="1" applyBorder="1" applyAlignment="1">
      <alignment horizontal="center" vertical="center" wrapText="1"/>
    </xf>
    <xf numFmtId="2" fontId="4" fillId="4" borderId="7" xfId="0" applyNumberFormat="1" applyFont="1" applyFill="1" applyBorder="1" applyAlignment="1">
      <alignment horizontal="center" vertical="center" wrapText="1"/>
    </xf>
    <xf numFmtId="4" fontId="0" fillId="9" borderId="6" xfId="0" applyNumberFormat="1" applyFill="1" applyBorder="1" applyAlignment="1">
      <alignment horizontal="center" vertical="center"/>
    </xf>
    <xf numFmtId="4" fontId="0" fillId="8" borderId="6" xfId="0" applyNumberFormat="1" applyFont="1" applyFill="1" applyBorder="1" applyAlignment="1">
      <alignment horizontal="center" vertical="center" wrapText="1"/>
    </xf>
    <xf numFmtId="0" fontId="6" fillId="7" borderId="0" xfId="0" applyFont="1" applyFill="1" applyBorder="1" applyAlignment="1">
      <alignment/>
    </xf>
    <xf numFmtId="4" fontId="2" fillId="8" borderId="6" xfId="0" applyNumberFormat="1" applyFont="1" applyFill="1" applyBorder="1" applyAlignment="1">
      <alignment horizontal="center" vertical="center"/>
    </xf>
    <xf numFmtId="175" fontId="0" fillId="6" borderId="6" xfId="0" applyNumberFormat="1" applyFont="1" applyFill="1" applyBorder="1" applyAlignment="1">
      <alignment horizontal="center" vertical="center"/>
    </xf>
    <xf numFmtId="0" fontId="0" fillId="7" borderId="0" xfId="0" applyFont="1" applyFill="1" applyAlignment="1">
      <alignment horizontal="left" vertical="center"/>
    </xf>
    <xf numFmtId="2" fontId="0" fillId="0" borderId="0" xfId="0" applyNumberFormat="1" applyFill="1" applyAlignment="1">
      <alignment/>
    </xf>
    <xf numFmtId="2" fontId="0" fillId="0" borderId="0" xfId="0" applyNumberFormat="1" applyFill="1" applyBorder="1" applyAlignment="1">
      <alignment horizontal="left"/>
    </xf>
    <xf numFmtId="2" fontId="0" fillId="7" borderId="5" xfId="0" applyNumberFormat="1" applyFill="1" applyBorder="1" applyAlignment="1">
      <alignment/>
    </xf>
    <xf numFmtId="2" fontId="0" fillId="7" borderId="15" xfId="0" applyNumberFormat="1" applyFont="1" applyFill="1" applyBorder="1" applyAlignment="1">
      <alignment/>
    </xf>
    <xf numFmtId="2" fontId="0" fillId="7" borderId="15" xfId="0" applyNumberFormat="1" applyFont="1" applyFill="1" applyBorder="1" applyAlignment="1">
      <alignment wrapText="1"/>
    </xf>
    <xf numFmtId="2" fontId="0" fillId="7" borderId="19" xfId="0" applyNumberFormat="1" applyFill="1" applyBorder="1" applyAlignment="1">
      <alignment/>
    </xf>
    <xf numFmtId="2" fontId="5" fillId="4" borderId="0" xfId="0" applyNumberFormat="1" applyFont="1" applyFill="1" applyBorder="1" applyAlignment="1">
      <alignment horizontal="center" vertical="center"/>
    </xf>
    <xf numFmtId="2" fontId="0" fillId="5" borderId="6" xfId="0" applyNumberFormat="1" applyFill="1" applyBorder="1" applyAlignment="1">
      <alignment horizontal="center" vertical="center"/>
    </xf>
    <xf numFmtId="2" fontId="0" fillId="5" borderId="6" xfId="0" applyNumberFormat="1" applyFont="1" applyFill="1" applyBorder="1" applyAlignment="1">
      <alignment horizontal="center" vertical="center"/>
    </xf>
    <xf numFmtId="2" fontId="1" fillId="7" borderId="0" xfId="0" applyNumberFormat="1" applyFont="1" applyFill="1" applyBorder="1" applyAlignment="1">
      <alignment/>
    </xf>
    <xf numFmtId="2" fontId="0" fillId="7" borderId="18" xfId="0" applyNumberFormat="1" applyFill="1" applyBorder="1" applyAlignment="1">
      <alignment/>
    </xf>
    <xf numFmtId="2" fontId="0" fillId="7" borderId="5" xfId="0" applyNumberFormat="1" applyFill="1" applyBorder="1" applyAlignment="1">
      <alignment horizontal="center" vertical="center"/>
    </xf>
    <xf numFmtId="2" fontId="0" fillId="7" borderId="0" xfId="0" applyNumberFormat="1" applyFill="1" applyAlignment="1">
      <alignment horizontal="center" vertical="center"/>
    </xf>
    <xf numFmtId="2" fontId="0" fillId="4" borderId="15" xfId="0" applyNumberFormat="1" applyFill="1" applyBorder="1" applyAlignment="1">
      <alignment horizontal="center" vertical="center"/>
    </xf>
    <xf numFmtId="2" fontId="0" fillId="7" borderId="0" xfId="0" applyNumberFormat="1" applyFill="1" applyBorder="1" applyAlignment="1">
      <alignment horizontal="center" vertical="center"/>
    </xf>
    <xf numFmtId="2" fontId="0" fillId="7" borderId="18" xfId="0" applyNumberFormat="1" applyFill="1" applyBorder="1" applyAlignment="1">
      <alignment horizontal="center" vertical="center"/>
    </xf>
    <xf numFmtId="2" fontId="3" fillId="0" borderId="0" xfId="0" applyNumberFormat="1" applyFont="1" applyFill="1" applyBorder="1" applyAlignment="1">
      <alignment/>
    </xf>
    <xf numFmtId="2" fontId="0" fillId="5" borderId="6" xfId="0" applyNumberFormat="1" applyFill="1" applyBorder="1" applyAlignment="1">
      <alignment/>
    </xf>
    <xf numFmtId="2" fontId="0" fillId="9" borderId="6" xfId="0" applyNumberFormat="1" applyFill="1" applyBorder="1" applyAlignment="1">
      <alignment/>
    </xf>
    <xf numFmtId="2" fontId="0" fillId="10" borderId="6" xfId="0" applyNumberFormat="1" applyFill="1" applyBorder="1" applyAlignment="1">
      <alignment/>
    </xf>
    <xf numFmtId="2" fontId="3" fillId="8" borderId="6" xfId="0" applyNumberFormat="1" applyFont="1" applyFill="1" applyBorder="1" applyAlignment="1">
      <alignment/>
    </xf>
    <xf numFmtId="2" fontId="2" fillId="0" borderId="6" xfId="0" applyNumberFormat="1" applyFont="1" applyFill="1" applyBorder="1" applyAlignment="1">
      <alignment horizontal="center" vertical="center"/>
    </xf>
    <xf numFmtId="2" fontId="0" fillId="0" borderId="7" xfId="0" applyNumberFormat="1" applyFill="1" applyBorder="1" applyAlignment="1">
      <alignment horizontal="center" vertical="center" wrapText="1"/>
    </xf>
    <xf numFmtId="2" fontId="0" fillId="0" borderId="6" xfId="0" applyNumberFormat="1" applyFont="1" applyFill="1" applyBorder="1" applyAlignment="1">
      <alignment horizontal="center" vertical="center" wrapText="1"/>
    </xf>
    <xf numFmtId="2" fontId="0" fillId="9" borderId="6" xfId="0" applyNumberFormat="1" applyFill="1" applyBorder="1" applyAlignment="1">
      <alignment horizontal="center" vertical="center" wrapText="1"/>
    </xf>
    <xf numFmtId="2" fontId="0" fillId="4" borderId="21" xfId="0" applyNumberFormat="1" applyFill="1" applyBorder="1" applyAlignment="1" applyProtection="1">
      <alignment horizontal="center" vertical="center"/>
      <protection/>
    </xf>
    <xf numFmtId="2" fontId="0" fillId="0" borderId="0" xfId="0" applyNumberFormat="1" applyFill="1" applyBorder="1" applyAlignment="1">
      <alignment/>
    </xf>
    <xf numFmtId="2" fontId="0" fillId="10" borderId="6" xfId="0" applyNumberFormat="1" applyFill="1" applyBorder="1" applyAlignment="1">
      <alignment horizontal="center" vertical="center" wrapText="1"/>
    </xf>
    <xf numFmtId="0" fontId="0" fillId="0" borderId="6" xfId="0" applyFont="1" applyFill="1" applyBorder="1" applyAlignment="1">
      <alignment horizontal="center" vertical="center" wrapText="1"/>
    </xf>
    <xf numFmtId="2" fontId="0" fillId="0" borderId="6" xfId="0" applyNumberFormat="1" applyFont="1" applyFill="1" applyBorder="1" applyAlignment="1">
      <alignment horizontal="center" vertical="center"/>
    </xf>
    <xf numFmtId="4" fontId="0" fillId="7" borderId="19" xfId="0" applyNumberFormat="1" applyFill="1" applyBorder="1" applyAlignment="1">
      <alignment vertical="top"/>
    </xf>
    <xf numFmtId="4" fontId="2" fillId="7" borderId="0" xfId="0" applyNumberFormat="1" applyFont="1" applyFill="1" applyBorder="1" applyAlignment="1">
      <alignment horizontal="center" vertical="center"/>
    </xf>
    <xf numFmtId="4" fontId="0" fillId="7" borderId="0" xfId="0" applyNumberFormat="1" applyFont="1" applyFill="1" applyBorder="1" applyAlignment="1">
      <alignment vertical="top"/>
    </xf>
    <xf numFmtId="4" fontId="5" fillId="4" borderId="8" xfId="0" applyNumberFormat="1" applyFont="1" applyFill="1" applyBorder="1" applyAlignment="1">
      <alignment horizontal="center" vertical="center"/>
    </xf>
    <xf numFmtId="2" fontId="0" fillId="7" borderId="0" xfId="0" applyNumberFormat="1" applyFill="1" applyBorder="1" applyAlignment="1" applyProtection="1">
      <alignment horizontal="left" vertical="center"/>
      <protection/>
    </xf>
    <xf numFmtId="0" fontId="12" fillId="0" borderId="0" xfId="0" applyFont="1" applyFill="1" applyBorder="1" applyAlignment="1">
      <alignment/>
    </xf>
    <xf numFmtId="0" fontId="12" fillId="0" borderId="0" xfId="0" applyFont="1" applyFill="1" applyAlignment="1">
      <alignment/>
    </xf>
    <xf numFmtId="0" fontId="21" fillId="0" borderId="0" xfId="0" applyFont="1" applyFill="1" applyBorder="1" applyAlignment="1">
      <alignment/>
    </xf>
    <xf numFmtId="4" fontId="0" fillId="0" borderId="6" xfId="0" applyNumberFormat="1" applyBorder="1" applyAlignment="1">
      <alignment horizontal="center" vertical="center" wrapText="1"/>
    </xf>
    <xf numFmtId="0" fontId="1" fillId="0" borderId="0" xfId="0" applyFont="1" applyAlignment="1">
      <alignment vertical="center"/>
    </xf>
    <xf numFmtId="0" fontId="5" fillId="4" borderId="0" xfId="0" applyFont="1" applyFill="1" applyBorder="1" applyAlignment="1">
      <alignment horizontal="center" vertical="center"/>
    </xf>
    <xf numFmtId="0" fontId="0" fillId="0" borderId="0" xfId="0" applyAlignment="1">
      <alignment horizontal="center"/>
    </xf>
    <xf numFmtId="2" fontId="0" fillId="7" borderId="11" xfId="0" applyNumberFormat="1" applyFill="1" applyBorder="1" applyAlignment="1">
      <alignment horizontal="center" vertical="center"/>
    </xf>
    <xf numFmtId="2" fontId="0" fillId="7" borderId="22" xfId="0" applyNumberFormat="1" applyFill="1" applyBorder="1" applyAlignment="1">
      <alignment horizontal="center" vertical="center"/>
    </xf>
    <xf numFmtId="2" fontId="0" fillId="0" borderId="6" xfId="0" applyNumberFormat="1" applyFill="1" applyBorder="1" applyAlignment="1">
      <alignment horizontal="center" vertical="center" wrapText="1"/>
    </xf>
    <xf numFmtId="0" fontId="0" fillId="7" borderId="16" xfId="0" applyFill="1" applyBorder="1" applyAlignment="1">
      <alignment horizontal="center"/>
    </xf>
    <xf numFmtId="173" fontId="0" fillId="7" borderId="6" xfId="0" applyNumberFormat="1" applyFill="1" applyBorder="1" applyAlignment="1">
      <alignment horizontal="center" vertical="center" wrapText="1"/>
    </xf>
    <xf numFmtId="4" fontId="2" fillId="8" borderId="23" xfId="0" applyNumberFormat="1" applyFont="1" applyFill="1" applyBorder="1" applyAlignment="1">
      <alignment horizontal="center" vertical="center"/>
    </xf>
    <xf numFmtId="2" fontId="0" fillId="7" borderId="0" xfId="0" applyNumberFormat="1" applyFill="1" applyBorder="1" applyAlignment="1">
      <alignment/>
    </xf>
    <xf numFmtId="4" fontId="0" fillId="7" borderId="6" xfId="0" applyNumberFormat="1" applyFill="1" applyBorder="1" applyAlignment="1">
      <alignment horizontal="center" vertical="center" wrapText="1"/>
    </xf>
    <xf numFmtId="0" fontId="1" fillId="7" borderId="17" xfId="0" applyFont="1" applyFill="1" applyBorder="1" applyAlignment="1">
      <alignment/>
    </xf>
    <xf numFmtId="0" fontId="1" fillId="7" borderId="18" xfId="0" applyFont="1" applyFill="1" applyBorder="1" applyAlignment="1">
      <alignment/>
    </xf>
    <xf numFmtId="176" fontId="0" fillId="7" borderId="6" xfId="0" applyNumberFormat="1" applyFill="1" applyBorder="1" applyAlignment="1">
      <alignment horizontal="center" vertical="center" wrapText="1"/>
    </xf>
    <xf numFmtId="0" fontId="6" fillId="7" borderId="18" xfId="0" applyFont="1" applyFill="1" applyBorder="1" applyAlignment="1">
      <alignment/>
    </xf>
    <xf numFmtId="0" fontId="17" fillId="0" borderId="0" xfId="0" applyFont="1" applyBorder="1" applyAlignment="1">
      <alignment horizontal="center" vertical="top" wrapText="1"/>
    </xf>
    <xf numFmtId="0" fontId="0" fillId="7" borderId="5" xfId="0" applyFill="1" applyBorder="1" applyAlignment="1">
      <alignment wrapText="1"/>
    </xf>
    <xf numFmtId="0" fontId="0" fillId="7" borderId="12" xfId="0" applyFill="1" applyBorder="1" applyAlignment="1">
      <alignment wrapText="1"/>
    </xf>
    <xf numFmtId="0" fontId="0" fillId="7" borderId="14" xfId="0" applyFill="1" applyBorder="1" applyAlignment="1">
      <alignment wrapText="1"/>
    </xf>
    <xf numFmtId="0" fontId="0" fillId="7" borderId="17" xfId="0" applyFill="1" applyBorder="1" applyAlignment="1">
      <alignment wrapText="1"/>
    </xf>
    <xf numFmtId="0" fontId="0" fillId="7" borderId="18" xfId="0" applyFill="1" applyBorder="1" applyAlignment="1">
      <alignment wrapText="1"/>
    </xf>
    <xf numFmtId="0" fontId="0" fillId="7" borderId="16" xfId="0" applyFill="1" applyBorder="1" applyAlignment="1">
      <alignment wrapText="1"/>
    </xf>
    <xf numFmtId="0" fontId="0" fillId="8" borderId="24" xfId="0" applyFill="1" applyBorder="1" applyAlignment="1">
      <alignment wrapText="1"/>
    </xf>
    <xf numFmtId="0" fontId="0" fillId="8" borderId="25" xfId="0" applyFill="1" applyBorder="1" applyAlignment="1">
      <alignment wrapText="1"/>
    </xf>
    <xf numFmtId="0" fontId="1" fillId="0" borderId="0" xfId="0" applyFont="1" applyBorder="1" applyAlignment="1">
      <alignment horizontal="left" vertical="top" wrapText="1"/>
    </xf>
    <xf numFmtId="0" fontId="1" fillId="0" borderId="0" xfId="0" applyFont="1" applyAlignment="1">
      <alignment horizontal="left"/>
    </xf>
    <xf numFmtId="0" fontId="1" fillId="9" borderId="6" xfId="0" applyFont="1" applyFill="1" applyBorder="1" applyAlignment="1">
      <alignment horizontal="left"/>
    </xf>
    <xf numFmtId="0" fontId="0" fillId="9" borderId="25" xfId="0" applyFill="1" applyBorder="1" applyAlignment="1">
      <alignment wrapText="1"/>
    </xf>
    <xf numFmtId="0" fontId="6" fillId="7" borderId="5" xfId="0" applyFont="1" applyFill="1" applyBorder="1" applyAlignment="1">
      <alignment/>
    </xf>
    <xf numFmtId="2" fontId="0" fillId="8" borderId="6" xfId="0" applyNumberFormat="1" applyFill="1" applyBorder="1" applyAlignment="1">
      <alignment horizontal="center" vertical="center" wrapText="1"/>
    </xf>
    <xf numFmtId="176" fontId="0" fillId="8" borderId="6" xfId="0" applyNumberFormat="1" applyFill="1" applyBorder="1" applyAlignment="1">
      <alignment horizontal="center" vertical="center" wrapText="1"/>
    </xf>
    <xf numFmtId="2" fontId="2" fillId="0" borderId="8"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8" xfId="0" applyNumberFormat="1" applyFont="1" applyFill="1" applyBorder="1" applyAlignment="1">
      <alignment horizontal="center" vertical="center" wrapText="1"/>
    </xf>
    <xf numFmtId="0" fontId="0" fillId="7" borderId="0" xfId="0" applyFill="1" applyAlignment="1">
      <alignment/>
    </xf>
    <xf numFmtId="0" fontId="25" fillId="0" borderId="0" xfId="0" applyFont="1" applyFill="1" applyBorder="1" applyAlignment="1">
      <alignment horizontal="left"/>
    </xf>
    <xf numFmtId="0" fontId="0" fillId="0" borderId="0" xfId="0" applyAlignment="1">
      <alignment horizontal="center" vertical="center"/>
    </xf>
    <xf numFmtId="0" fontId="0" fillId="8" borderId="6" xfId="0" applyFill="1" applyBorder="1" applyAlignment="1">
      <alignment horizontal="center" vertical="center"/>
    </xf>
    <xf numFmtId="0" fontId="0" fillId="8" borderId="6" xfId="0" applyFill="1" applyBorder="1" applyAlignment="1">
      <alignment horizontal="center" vertical="center" wrapText="1"/>
    </xf>
    <xf numFmtId="0" fontId="0" fillId="8" borderId="6" xfId="0" applyFill="1" applyBorder="1" applyAlignment="1">
      <alignment/>
    </xf>
    <xf numFmtId="0" fontId="0" fillId="8" borderId="6" xfId="0" applyFill="1" applyBorder="1" applyAlignment="1">
      <alignment horizontal="center"/>
    </xf>
    <xf numFmtId="174" fontId="0" fillId="8" borderId="6" xfId="0" applyNumberFormat="1" applyFill="1" applyBorder="1" applyAlignment="1">
      <alignment horizontal="center"/>
    </xf>
    <xf numFmtId="174" fontId="0" fillId="8" borderId="6" xfId="0" applyNumberFormat="1" applyFill="1" applyBorder="1" applyAlignment="1">
      <alignment horizontal="right"/>
    </xf>
    <xf numFmtId="0" fontId="4" fillId="7" borderId="0" xfId="0" applyFont="1" applyFill="1" applyBorder="1" applyAlignment="1">
      <alignment/>
    </xf>
    <xf numFmtId="0" fontId="0" fillId="7" borderId="26" xfId="0" applyFill="1" applyBorder="1" applyAlignment="1">
      <alignment/>
    </xf>
    <xf numFmtId="0" fontId="0" fillId="7" borderId="26" xfId="0" applyFill="1" applyBorder="1" applyAlignment="1">
      <alignment horizontal="center"/>
    </xf>
    <xf numFmtId="0" fontId="0" fillId="7" borderId="13" xfId="0" applyFill="1" applyBorder="1" applyAlignment="1">
      <alignment horizontal="right" vertical="center"/>
    </xf>
    <xf numFmtId="0" fontId="0" fillId="7" borderId="6" xfId="0" applyFill="1" applyBorder="1" applyAlignment="1">
      <alignment horizontal="center" vertical="center" wrapText="1"/>
    </xf>
    <xf numFmtId="0" fontId="0" fillId="4" borderId="6" xfId="0" applyFill="1" applyBorder="1" applyAlignment="1">
      <alignment horizontal="center" vertical="center" wrapText="1"/>
    </xf>
    <xf numFmtId="0" fontId="17" fillId="7" borderId="11" xfId="0" applyFont="1" applyFill="1" applyBorder="1" applyAlignment="1">
      <alignment/>
    </xf>
    <xf numFmtId="0" fontId="26" fillId="7" borderId="13" xfId="0" applyFont="1" applyFill="1" applyBorder="1" applyAlignment="1">
      <alignment wrapText="1"/>
    </xf>
    <xf numFmtId="0" fontId="26" fillId="0" borderId="0" xfId="0" applyFont="1" applyBorder="1" applyAlignment="1">
      <alignment wrapText="1"/>
    </xf>
    <xf numFmtId="0" fontId="26" fillId="7" borderId="0" xfId="0" applyFont="1" applyFill="1" applyBorder="1" applyAlignment="1">
      <alignment wrapText="1"/>
    </xf>
    <xf numFmtId="0" fontId="0" fillId="7" borderId="27" xfId="0" applyFill="1" applyBorder="1" applyAlignment="1">
      <alignment/>
    </xf>
    <xf numFmtId="0" fontId="0" fillId="7" borderId="28" xfId="0" applyFill="1" applyBorder="1" applyAlignment="1">
      <alignment/>
    </xf>
    <xf numFmtId="0" fontId="0" fillId="7" borderId="29" xfId="0" applyFill="1" applyBorder="1" applyAlignment="1">
      <alignment/>
    </xf>
    <xf numFmtId="0" fontId="0" fillId="7" borderId="6" xfId="0" applyFill="1" applyBorder="1" applyAlignment="1">
      <alignment/>
    </xf>
    <xf numFmtId="2" fontId="0" fillId="7" borderId="6" xfId="0" applyNumberFormat="1" applyFill="1" applyBorder="1" applyAlignment="1">
      <alignment/>
    </xf>
    <xf numFmtId="2" fontId="2"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xf>
    <xf numFmtId="0" fontId="2" fillId="6" borderId="30" xfId="0" applyFont="1" applyFill="1" applyBorder="1" applyAlignment="1">
      <alignment horizontal="center" vertical="center" wrapText="1"/>
    </xf>
    <xf numFmtId="0" fontId="5" fillId="4" borderId="14" xfId="0" applyFont="1" applyFill="1" applyBorder="1" applyAlignment="1">
      <alignment horizontal="center" vertical="center"/>
    </xf>
    <xf numFmtId="2" fontId="0" fillId="6" borderId="30" xfId="0" applyNumberFormat="1" applyFill="1" applyBorder="1" applyAlignment="1">
      <alignment horizontal="center" vertical="center" wrapText="1"/>
    </xf>
    <xf numFmtId="2" fontId="0" fillId="6" borderId="30" xfId="0" applyNumberFormat="1" applyFont="1" applyFill="1" applyBorder="1" applyAlignment="1">
      <alignment horizontal="center" vertical="center"/>
    </xf>
    <xf numFmtId="0" fontId="0" fillId="0" borderId="6" xfId="0" applyFill="1" applyBorder="1" applyAlignment="1">
      <alignment/>
    </xf>
    <xf numFmtId="172" fontId="0" fillId="0" borderId="6" xfId="0" applyNumberFormat="1" applyFill="1" applyBorder="1" applyAlignment="1">
      <alignment horizontal="center" vertical="center"/>
    </xf>
    <xf numFmtId="2" fontId="0" fillId="7" borderId="0" xfId="0" applyNumberFormat="1" applyFont="1" applyFill="1" applyBorder="1" applyAlignment="1">
      <alignment horizontal="center" vertical="center" wrapText="1"/>
    </xf>
    <xf numFmtId="173" fontId="0" fillId="8" borderId="6" xfId="0" applyNumberFormat="1" applyFill="1" applyBorder="1" applyAlignment="1">
      <alignment horizontal="center" vertical="center" wrapText="1"/>
    </xf>
    <xf numFmtId="0" fontId="6" fillId="7" borderId="18" xfId="0" applyFont="1" applyFill="1" applyBorder="1"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0" fillId="7" borderId="5" xfId="0" applyFill="1" applyBorder="1" applyAlignment="1">
      <alignment vertical="center"/>
    </xf>
    <xf numFmtId="0" fontId="0" fillId="7" borderId="5" xfId="0" applyFill="1" applyBorder="1" applyAlignment="1">
      <alignment horizontal="center"/>
    </xf>
    <xf numFmtId="0" fontId="1" fillId="7" borderId="0" xfId="0" applyFont="1" applyFill="1" applyBorder="1" applyAlignment="1">
      <alignment vertical="center"/>
    </xf>
    <xf numFmtId="0" fontId="1" fillId="7" borderId="0" xfId="0" applyFont="1" applyFill="1" applyBorder="1" applyAlignment="1">
      <alignment horizontal="center" vertical="center"/>
    </xf>
    <xf numFmtId="0" fontId="1" fillId="7" borderId="0" xfId="0" applyFont="1" applyFill="1" applyBorder="1" applyAlignment="1">
      <alignment vertical="center" wrapText="1"/>
    </xf>
    <xf numFmtId="0" fontId="1" fillId="7" borderId="18" xfId="0" applyFont="1" applyFill="1" applyBorder="1" applyAlignment="1">
      <alignment vertical="center"/>
    </xf>
    <xf numFmtId="0" fontId="1" fillId="7" borderId="18" xfId="0" applyFont="1" applyFill="1" applyBorder="1" applyAlignment="1">
      <alignment horizontal="center" vertical="center"/>
    </xf>
    <xf numFmtId="0" fontId="1" fillId="0" borderId="6" xfId="0" applyFont="1" applyFill="1" applyBorder="1" applyAlignment="1">
      <alignment vertical="center"/>
    </xf>
    <xf numFmtId="2" fontId="0" fillId="8" borderId="6" xfId="0" applyNumberFormat="1" applyFill="1" applyBorder="1" applyAlignment="1">
      <alignment horizontal="center" vertical="center"/>
    </xf>
    <xf numFmtId="0" fontId="1" fillId="4" borderId="6" xfId="0" applyFont="1" applyFill="1" applyBorder="1" applyAlignment="1">
      <alignment vertical="center"/>
    </xf>
    <xf numFmtId="0" fontId="1" fillId="0" borderId="9" xfId="0" applyFont="1" applyFill="1" applyBorder="1" applyAlignment="1">
      <alignment vertical="center" wrapText="1"/>
    </xf>
    <xf numFmtId="0" fontId="1" fillId="4" borderId="31" xfId="0" applyFont="1" applyFill="1" applyBorder="1" applyAlignment="1">
      <alignment vertical="center" wrapText="1"/>
    </xf>
    <xf numFmtId="4" fontId="0" fillId="8" borderId="31" xfId="0" applyNumberFormat="1" applyFill="1" applyBorder="1" applyAlignment="1">
      <alignment horizontal="center" vertical="center"/>
    </xf>
    <xf numFmtId="0" fontId="1" fillId="0" borderId="6" xfId="0" applyFont="1" applyFill="1" applyBorder="1" applyAlignment="1">
      <alignment vertical="center" wrapText="1"/>
    </xf>
    <xf numFmtId="0" fontId="1" fillId="4" borderId="6" xfId="0" applyFont="1" applyFill="1" applyBorder="1" applyAlignment="1">
      <alignment vertical="center" wrapText="1"/>
    </xf>
    <xf numFmtId="0" fontId="1" fillId="0" borderId="0" xfId="0" applyFont="1" applyAlignment="1">
      <alignment/>
    </xf>
    <xf numFmtId="0" fontId="26" fillId="7" borderId="32" xfId="0" applyFont="1" applyFill="1" applyBorder="1" applyAlignment="1">
      <alignment vertical="center"/>
    </xf>
    <xf numFmtId="0" fontId="1" fillId="7" borderId="0" xfId="0" applyFont="1" applyFill="1" applyBorder="1" applyAlignment="1">
      <alignment horizontal="left" vertical="center"/>
    </xf>
    <xf numFmtId="0" fontId="27" fillId="0" borderId="0" xfId="0" applyFont="1" applyAlignment="1">
      <alignment/>
    </xf>
    <xf numFmtId="0" fontId="27" fillId="0" borderId="0" xfId="0" applyFont="1" applyAlignment="1">
      <alignment wrapText="1"/>
    </xf>
    <xf numFmtId="0" fontId="0" fillId="9" borderId="6" xfId="0" applyFill="1" applyBorder="1" applyAlignment="1">
      <alignment horizontal="center"/>
    </xf>
    <xf numFmtId="0" fontId="13" fillId="7" borderId="11" xfId="0" applyFont="1" applyFill="1" applyBorder="1" applyAlignment="1">
      <alignment/>
    </xf>
    <xf numFmtId="0" fontId="17" fillId="7" borderId="5" xfId="0" applyFont="1" applyFill="1" applyBorder="1" applyAlignment="1">
      <alignment/>
    </xf>
    <xf numFmtId="0" fontId="13" fillId="7" borderId="5" xfId="0" applyFont="1" applyFill="1" applyBorder="1" applyAlignment="1">
      <alignment/>
    </xf>
    <xf numFmtId="0" fontId="13" fillId="7" borderId="13" xfId="0" applyFont="1" applyFill="1" applyBorder="1" applyAlignment="1">
      <alignment/>
    </xf>
    <xf numFmtId="0" fontId="14" fillId="7" borderId="0" xfId="0" applyFont="1" applyFill="1" applyBorder="1" applyAlignment="1">
      <alignment vertical="center"/>
    </xf>
    <xf numFmtId="0" fontId="13" fillId="7" borderId="0" xfId="0" applyFont="1" applyFill="1" applyBorder="1" applyAlignment="1">
      <alignment/>
    </xf>
    <xf numFmtId="0" fontId="24" fillId="0" borderId="0" xfId="0" applyFont="1" applyFill="1" applyBorder="1" applyAlignment="1">
      <alignment/>
    </xf>
    <xf numFmtId="0" fontId="1" fillId="7" borderId="0" xfId="0" applyFont="1" applyFill="1" applyBorder="1" applyAlignment="1">
      <alignment horizontal="left" vertical="top" wrapText="1"/>
    </xf>
    <xf numFmtId="0" fontId="1" fillId="7" borderId="0" xfId="0" applyFont="1" applyFill="1" applyBorder="1" applyAlignment="1">
      <alignment wrapText="1"/>
    </xf>
    <xf numFmtId="0" fontId="0" fillId="7" borderId="0" xfId="0" applyFill="1" applyBorder="1" applyAlignment="1">
      <alignment/>
    </xf>
    <xf numFmtId="0" fontId="0" fillId="7" borderId="14" xfId="0" applyFill="1" applyBorder="1" applyAlignment="1">
      <alignment/>
    </xf>
    <xf numFmtId="0" fontId="0" fillId="7" borderId="3" xfId="0" applyFill="1" applyBorder="1" applyAlignment="1">
      <alignment/>
    </xf>
    <xf numFmtId="4" fontId="0" fillId="0" borderId="15"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4" fontId="2" fillId="0" borderId="7" xfId="0" applyNumberFormat="1" applyFont="1" applyFill="1" applyBorder="1" applyAlignment="1">
      <alignment horizontal="center" vertical="center"/>
    </xf>
    <xf numFmtId="4" fontId="0" fillId="0" borderId="20" xfId="0" applyNumberFormat="1" applyFill="1" applyBorder="1" applyAlignment="1">
      <alignment horizontal="center" vertical="center" wrapText="1"/>
    </xf>
    <xf numFmtId="0" fontId="0" fillId="7" borderId="0" xfId="0" applyFill="1" applyAlignment="1">
      <alignment/>
    </xf>
    <xf numFmtId="4" fontId="0" fillId="7" borderId="20" xfId="0" applyNumberFormat="1" applyFill="1" applyBorder="1" applyAlignment="1">
      <alignment horizontal="center" vertical="center" wrapText="1"/>
    </xf>
    <xf numFmtId="0" fontId="0" fillId="0" borderId="0" xfId="0" applyAlignment="1">
      <alignment/>
    </xf>
    <xf numFmtId="0" fontId="2" fillId="0" borderId="0" xfId="0" applyFont="1" applyAlignment="1">
      <alignment/>
    </xf>
    <xf numFmtId="0" fontId="11" fillId="0" borderId="0" xfId="0" applyFont="1" applyFill="1" applyAlignment="1">
      <alignment/>
    </xf>
    <xf numFmtId="4" fontId="11" fillId="0" borderId="0" xfId="0" applyNumberFormat="1" applyFont="1" applyFill="1" applyAlignment="1">
      <alignment/>
    </xf>
    <xf numFmtId="173" fontId="11" fillId="0" borderId="0" xfId="0" applyNumberFormat="1" applyFont="1" applyFill="1" applyAlignment="1">
      <alignment/>
    </xf>
    <xf numFmtId="0" fontId="41" fillId="0" borderId="0" xfId="0" applyFont="1" applyFill="1" applyAlignment="1">
      <alignment/>
    </xf>
    <xf numFmtId="0" fontId="41" fillId="0" borderId="0" xfId="0" applyFont="1" applyFill="1" applyBorder="1" applyAlignment="1">
      <alignment/>
    </xf>
    <xf numFmtId="0" fontId="43" fillId="0" borderId="0" xfId="0" applyFont="1" applyFill="1" applyBorder="1" applyAlignment="1">
      <alignment/>
    </xf>
    <xf numFmtId="0" fontId="43" fillId="0" borderId="0" xfId="0" applyFont="1" applyFill="1" applyBorder="1" applyAlignment="1">
      <alignment vertical="top"/>
    </xf>
    <xf numFmtId="0" fontId="43" fillId="0" borderId="0" xfId="0" applyFont="1" applyFill="1" applyAlignment="1">
      <alignment vertical="top"/>
    </xf>
    <xf numFmtId="0" fontId="47" fillId="11" borderId="0" xfId="0" applyFont="1" applyFill="1" applyAlignment="1">
      <alignment horizontal="center"/>
    </xf>
    <xf numFmtId="0" fontId="49" fillId="12" borderId="0" xfId="0" applyFont="1" applyFill="1" applyBorder="1" applyAlignment="1">
      <alignment/>
    </xf>
    <xf numFmtId="0" fontId="47" fillId="0" borderId="0" xfId="0" applyFont="1" applyFill="1" applyBorder="1" applyAlignment="1">
      <alignment horizontal="center"/>
    </xf>
    <xf numFmtId="0" fontId="47" fillId="0" borderId="0" xfId="0" applyFont="1" applyFill="1" applyAlignment="1">
      <alignment horizontal="center"/>
    </xf>
    <xf numFmtId="0" fontId="11" fillId="0" borderId="0" xfId="0" applyFont="1" applyFill="1" applyBorder="1" applyAlignment="1">
      <alignment/>
    </xf>
    <xf numFmtId="0" fontId="11" fillId="11" borderId="0" xfId="0" applyFont="1" applyFill="1" applyAlignment="1">
      <alignment/>
    </xf>
    <xf numFmtId="0" fontId="50" fillId="13" borderId="33" xfId="0" applyFont="1" applyFill="1" applyBorder="1" applyAlignment="1">
      <alignment vertical="center"/>
    </xf>
    <xf numFmtId="0" fontId="50" fillId="0" borderId="33" xfId="0" applyFont="1" applyFill="1" applyBorder="1" applyAlignment="1">
      <alignment vertical="center"/>
    </xf>
    <xf numFmtId="0" fontId="52" fillId="0" borderId="0" xfId="0" applyFont="1" applyFill="1" applyAlignment="1">
      <alignment/>
    </xf>
    <xf numFmtId="0" fontId="48" fillId="0" borderId="0" xfId="0" applyFont="1" applyFill="1" applyAlignment="1">
      <alignment/>
    </xf>
    <xf numFmtId="0" fontId="48" fillId="5" borderId="8" xfId="0" applyFont="1" applyFill="1" applyBorder="1" applyAlignment="1" applyProtection="1">
      <alignment/>
      <protection locked="0"/>
    </xf>
    <xf numFmtId="0" fontId="48" fillId="5" borderId="6" xfId="0" applyFont="1" applyFill="1" applyBorder="1" applyAlignment="1" applyProtection="1">
      <alignment/>
      <protection locked="0"/>
    </xf>
    <xf numFmtId="0" fontId="48" fillId="0" borderId="6" xfId="0" applyFont="1" applyFill="1" applyBorder="1" applyAlignment="1">
      <alignment/>
    </xf>
    <xf numFmtId="0" fontId="48" fillId="5" borderId="34" xfId="0" applyFont="1" applyFill="1" applyBorder="1" applyAlignment="1" applyProtection="1">
      <alignment/>
      <protection locked="0"/>
    </xf>
    <xf numFmtId="0" fontId="11" fillId="0" borderId="0" xfId="0" applyFont="1" applyFill="1" applyBorder="1" applyAlignment="1">
      <alignment/>
    </xf>
    <xf numFmtId="0" fontId="41" fillId="0" borderId="0" xfId="0" applyFont="1" applyFill="1" applyAlignment="1" applyProtection="1">
      <alignment/>
      <protection/>
    </xf>
    <xf numFmtId="0" fontId="41"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Border="1" applyAlignment="1" applyProtection="1">
      <alignment vertical="top"/>
      <protection/>
    </xf>
    <xf numFmtId="0" fontId="49" fillId="12" borderId="0" xfId="0" applyFont="1" applyFill="1" applyBorder="1" applyAlignment="1" applyProtection="1">
      <alignment/>
      <protection/>
    </xf>
    <xf numFmtId="0" fontId="49" fillId="12" borderId="0" xfId="0" applyFont="1" applyFill="1" applyBorder="1" applyAlignment="1" applyProtection="1">
      <alignment horizontal="right"/>
      <protection/>
    </xf>
    <xf numFmtId="0" fontId="47"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48" fillId="5" borderId="35" xfId="0" applyFont="1" applyFill="1" applyBorder="1" applyAlignment="1" applyProtection="1">
      <alignment/>
      <protection locked="0"/>
    </xf>
    <xf numFmtId="0" fontId="48" fillId="6" borderId="36" xfId="0" applyFont="1" applyFill="1" applyBorder="1" applyAlignment="1" applyProtection="1">
      <alignment/>
      <protection/>
    </xf>
    <xf numFmtId="182" fontId="11" fillId="6" borderId="37" xfId="0" applyNumberFormat="1" applyFont="1" applyFill="1" applyBorder="1" applyAlignment="1">
      <alignment horizontal="center"/>
    </xf>
    <xf numFmtId="0" fontId="48" fillId="6" borderId="9" xfId="0" applyFont="1" applyFill="1" applyBorder="1" applyAlignment="1" applyProtection="1">
      <alignment/>
      <protection/>
    </xf>
    <xf numFmtId="182" fontId="11" fillId="6" borderId="10" xfId="0" applyNumberFormat="1" applyFont="1" applyFill="1" applyBorder="1" applyAlignment="1">
      <alignment horizontal="center"/>
    </xf>
    <xf numFmtId="0" fontId="48" fillId="0" borderId="6" xfId="0" applyFont="1" applyFill="1" applyBorder="1" applyAlignment="1" applyProtection="1">
      <alignment/>
      <protection/>
    </xf>
    <xf numFmtId="172" fontId="48" fillId="8" borderId="6" xfId="0" applyNumberFormat="1" applyFont="1" applyFill="1" applyBorder="1" applyAlignment="1" applyProtection="1">
      <alignment/>
      <protection/>
    </xf>
    <xf numFmtId="0" fontId="48" fillId="6" borderId="34" xfId="0" applyFont="1" applyFill="1" applyBorder="1" applyAlignment="1" applyProtection="1">
      <alignment/>
      <protection/>
    </xf>
    <xf numFmtId="182" fontId="11" fillId="6" borderId="19" xfId="0" applyNumberFormat="1" applyFont="1" applyFill="1" applyBorder="1" applyAlignment="1">
      <alignment horizontal="center"/>
    </xf>
    <xf numFmtId="0" fontId="48" fillId="0" borderId="8" xfId="0" applyFont="1" applyFill="1" applyBorder="1" applyAlignment="1" applyProtection="1">
      <alignment/>
      <protection/>
    </xf>
    <xf numFmtId="0" fontId="48" fillId="5" borderId="7" xfId="0" applyFont="1" applyFill="1" applyBorder="1" applyAlignment="1" applyProtection="1">
      <alignment/>
      <protection locked="0"/>
    </xf>
    <xf numFmtId="0" fontId="48" fillId="0" borderId="7" xfId="0" applyFont="1" applyFill="1" applyBorder="1" applyAlignment="1" applyProtection="1">
      <alignment/>
      <protection/>
    </xf>
    <xf numFmtId="172" fontId="48" fillId="8" borderId="7" xfId="0" applyNumberFormat="1" applyFont="1" applyFill="1" applyBorder="1" applyAlignment="1" applyProtection="1">
      <alignment/>
      <protection/>
    </xf>
    <xf numFmtId="0" fontId="48" fillId="6" borderId="38" xfId="0" applyFont="1" applyFill="1" applyBorder="1" applyAlignment="1" applyProtection="1">
      <alignment/>
      <protection/>
    </xf>
    <xf numFmtId="182" fontId="11" fillId="6" borderId="15" xfId="0" applyNumberFormat="1" applyFont="1" applyFill="1" applyBorder="1" applyAlignment="1">
      <alignment horizontal="center"/>
    </xf>
    <xf numFmtId="0" fontId="48" fillId="14" borderId="9" xfId="0" applyFont="1" applyFill="1" applyBorder="1" applyAlignment="1" applyProtection="1">
      <alignment/>
      <protection locked="0"/>
    </xf>
    <xf numFmtId="0" fontId="48" fillId="14" borderId="10" xfId="0" applyFont="1" applyFill="1" applyBorder="1" applyAlignment="1" applyProtection="1">
      <alignment/>
      <protection locked="0"/>
    </xf>
    <xf numFmtId="0" fontId="48" fillId="5" borderId="39" xfId="0" applyFont="1" applyFill="1" applyBorder="1" applyAlignment="1" applyProtection="1">
      <alignment/>
      <protection locked="0"/>
    </xf>
    <xf numFmtId="0" fontId="48" fillId="14" borderId="40" xfId="0" applyFont="1" applyFill="1" applyBorder="1" applyAlignment="1" applyProtection="1">
      <alignment/>
      <protection locked="0"/>
    </xf>
    <xf numFmtId="0" fontId="48" fillId="14" borderId="41" xfId="0" applyFont="1" applyFill="1" applyBorder="1" applyAlignment="1" applyProtection="1">
      <alignment/>
      <protection locked="0"/>
    </xf>
    <xf numFmtId="0" fontId="48" fillId="11" borderId="9" xfId="0" applyFont="1" applyFill="1" applyBorder="1" applyAlignment="1" applyProtection="1">
      <alignment/>
      <protection/>
    </xf>
    <xf numFmtId="0" fontId="48" fillId="11" borderId="10" xfId="0" applyFont="1" applyFill="1" applyBorder="1" applyAlignment="1" applyProtection="1">
      <alignment/>
      <protection/>
    </xf>
    <xf numFmtId="0" fontId="48" fillId="11" borderId="6" xfId="0" applyFont="1" applyFill="1" applyBorder="1" applyAlignment="1" applyProtection="1">
      <alignment/>
      <protection/>
    </xf>
    <xf numFmtId="175" fontId="48" fillId="11" borderId="6" xfId="0" applyNumberFormat="1" applyFont="1" applyFill="1" applyBorder="1" applyAlignment="1" applyProtection="1">
      <alignment/>
      <protection/>
    </xf>
    <xf numFmtId="182" fontId="48" fillId="6" borderId="42" xfId="0" applyNumberFormat="1" applyFont="1" applyFill="1" applyBorder="1" applyAlignment="1" applyProtection="1">
      <alignment/>
      <protection/>
    </xf>
    <xf numFmtId="182" fontId="11" fillId="6" borderId="42" xfId="0" applyNumberFormat="1" applyFont="1" applyFill="1" applyBorder="1" applyAlignment="1">
      <alignment horizontal="center"/>
    </xf>
    <xf numFmtId="0" fontId="48" fillId="6" borderId="42" xfId="0" applyFont="1" applyFill="1" applyBorder="1" applyAlignment="1" applyProtection="1">
      <alignment/>
      <protection/>
    </xf>
    <xf numFmtId="0" fontId="48" fillId="6" borderId="19" xfId="0" applyFont="1" applyFill="1" applyBorder="1" applyAlignment="1" applyProtection="1">
      <alignment/>
      <protection/>
    </xf>
    <xf numFmtId="0" fontId="48" fillId="6" borderId="15" xfId="0" applyFont="1" applyFill="1" applyBorder="1" applyAlignment="1" applyProtection="1">
      <alignment/>
      <protection/>
    </xf>
    <xf numFmtId="0" fontId="48" fillId="0" borderId="20" xfId="0" applyFont="1" applyFill="1" applyBorder="1" applyAlignment="1" applyProtection="1">
      <alignment/>
      <protection/>
    </xf>
    <xf numFmtId="0" fontId="48" fillId="5" borderId="6" xfId="0" applyFont="1" applyFill="1" applyBorder="1" applyAlignment="1" applyProtection="1">
      <alignment horizontal="right"/>
      <protection locked="0"/>
    </xf>
    <xf numFmtId="0" fontId="48" fillId="6" borderId="10" xfId="0" applyFont="1" applyFill="1" applyBorder="1" applyAlignment="1" applyProtection="1">
      <alignment/>
      <protection/>
    </xf>
    <xf numFmtId="0" fontId="48" fillId="14" borderId="9" xfId="0" applyFont="1" applyFill="1" applyBorder="1" applyAlignment="1" applyProtection="1">
      <alignment/>
      <protection/>
    </xf>
    <xf numFmtId="0" fontId="48" fillId="14" borderId="10" xfId="0" applyFont="1" applyFill="1" applyBorder="1" applyAlignment="1" applyProtection="1">
      <alignment/>
      <protection/>
    </xf>
    <xf numFmtId="0" fontId="48" fillId="14" borderId="6" xfId="0" applyFont="1" applyFill="1" applyBorder="1" applyAlignment="1" applyProtection="1">
      <alignment/>
      <protection/>
    </xf>
    <xf numFmtId="175" fontId="48" fillId="14" borderId="6" xfId="0" applyNumberFormat="1" applyFont="1" applyFill="1" applyBorder="1" applyAlignment="1" applyProtection="1">
      <alignment/>
      <protection/>
    </xf>
    <xf numFmtId="0" fontId="11" fillId="0" borderId="0" xfId="0" applyFont="1" applyFill="1" applyAlignment="1" applyProtection="1">
      <alignment/>
      <protection/>
    </xf>
    <xf numFmtId="0" fontId="11" fillId="0" borderId="0" xfId="0" applyFont="1" applyFill="1" applyBorder="1" applyAlignment="1" applyProtection="1">
      <alignment/>
      <protection/>
    </xf>
    <xf numFmtId="0" fontId="19" fillId="11" borderId="0" xfId="0" applyFont="1" applyFill="1" applyAlignment="1">
      <alignment/>
    </xf>
    <xf numFmtId="0" fontId="0" fillId="11" borderId="0" xfId="0" applyFill="1" applyAlignment="1">
      <alignment horizontal="center"/>
    </xf>
    <xf numFmtId="0" fontId="0" fillId="11" borderId="0" xfId="0" applyFill="1" applyAlignment="1">
      <alignment/>
    </xf>
    <xf numFmtId="172" fontId="11" fillId="8" borderId="6" xfId="0" applyNumberFormat="1" applyFont="1" applyFill="1" applyBorder="1" applyAlignment="1">
      <alignment horizontal="center"/>
    </xf>
    <xf numFmtId="0" fontId="11" fillId="0" borderId="6" xfId="0" applyFont="1" applyBorder="1" applyAlignment="1">
      <alignment horizontal="center"/>
    </xf>
    <xf numFmtId="0" fontId="11" fillId="0" borderId="0" xfId="0" applyFont="1" applyFill="1" applyBorder="1" applyAlignment="1" applyProtection="1">
      <alignment/>
      <protection locked="0"/>
    </xf>
    <xf numFmtId="3" fontId="11" fillId="0" borderId="0" xfId="0" applyNumberFormat="1" applyFont="1" applyFill="1" applyBorder="1" applyAlignment="1" applyProtection="1">
      <alignment horizontal="center"/>
      <protection locked="0"/>
    </xf>
    <xf numFmtId="172" fontId="11" fillId="0" borderId="0" xfId="0" applyNumberFormat="1" applyFont="1" applyFill="1" applyBorder="1" applyAlignment="1">
      <alignment/>
    </xf>
    <xf numFmtId="2" fontId="0" fillId="7" borderId="26" xfId="0" applyNumberFormat="1" applyFill="1" applyBorder="1" applyAlignment="1" applyProtection="1">
      <alignment horizontal="center" vertical="center"/>
      <protection/>
    </xf>
    <xf numFmtId="4" fontId="0" fillId="0" borderId="7" xfId="0" applyNumberFormat="1"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2" fontId="0" fillId="7" borderId="6" xfId="0" applyNumberFormat="1" applyFont="1" applyFill="1" applyBorder="1" applyAlignment="1">
      <alignment horizontal="center" vertical="center" wrapText="1"/>
    </xf>
    <xf numFmtId="2" fontId="0" fillId="9" borderId="6" xfId="0" applyNumberFormat="1" applyFont="1" applyFill="1" applyBorder="1" applyAlignment="1">
      <alignment horizontal="center" vertical="center" wrapText="1"/>
    </xf>
    <xf numFmtId="4" fontId="2" fillId="8" borderId="7" xfId="0" applyNumberFormat="1" applyFont="1" applyFill="1" applyBorder="1" applyAlignment="1">
      <alignment horizontal="center" vertical="center"/>
    </xf>
    <xf numFmtId="0" fontId="0" fillId="0" borderId="14" xfId="0" applyFill="1" applyBorder="1" applyAlignment="1">
      <alignment/>
    </xf>
    <xf numFmtId="0" fontId="2" fillId="7" borderId="0" xfId="0" applyNumberFormat="1" applyFont="1" applyFill="1" applyBorder="1" applyAlignment="1">
      <alignment horizontal="right" vertical="center"/>
    </xf>
    <xf numFmtId="0" fontId="0" fillId="7" borderId="0" xfId="0" applyFill="1" applyBorder="1" applyAlignment="1">
      <alignment horizontal="right"/>
    </xf>
    <xf numFmtId="4" fontId="2" fillId="7" borderId="26" xfId="0" applyNumberFormat="1" applyFont="1" applyFill="1" applyBorder="1" applyAlignment="1">
      <alignment horizontal="center" vertical="center"/>
    </xf>
    <xf numFmtId="0" fontId="2" fillId="7" borderId="18" xfId="0" applyNumberFormat="1" applyFont="1" applyFill="1" applyBorder="1" applyAlignment="1">
      <alignment horizontal="right" vertical="center"/>
    </xf>
    <xf numFmtId="0" fontId="0" fillId="7" borderId="18" xfId="0" applyFill="1" applyBorder="1" applyAlignment="1">
      <alignment horizontal="right"/>
    </xf>
    <xf numFmtId="4" fontId="2" fillId="7" borderId="18" xfId="0" applyNumberFormat="1" applyFont="1" applyFill="1" applyBorder="1" applyAlignment="1">
      <alignment horizontal="center" vertical="center"/>
    </xf>
    <xf numFmtId="4" fontId="0" fillId="7" borderId="0" xfId="0" applyNumberFormat="1" applyFont="1" applyFill="1" applyBorder="1" applyAlignment="1">
      <alignment horizontal="center" vertical="center"/>
    </xf>
    <xf numFmtId="0" fontId="2" fillId="0" borderId="0" xfId="0" applyFont="1" applyFill="1" applyAlignment="1">
      <alignment wrapText="1"/>
    </xf>
    <xf numFmtId="0" fontId="0" fillId="0" borderId="43" xfId="0" applyBorder="1" applyAlignment="1">
      <alignment/>
    </xf>
    <xf numFmtId="4" fontId="47" fillId="6" borderId="9" xfId="0" applyNumberFormat="1" applyFont="1" applyFill="1" applyBorder="1" applyAlignment="1">
      <alignment horizontal="centerContinuous"/>
    </xf>
    <xf numFmtId="0" fontId="47" fillId="6" borderId="31" xfId="0" applyFont="1" applyFill="1" applyBorder="1" applyAlignment="1">
      <alignment horizontal="centerContinuous"/>
    </xf>
    <xf numFmtId="0" fontId="47" fillId="6" borderId="10" xfId="0" applyFont="1" applyFill="1" applyBorder="1" applyAlignment="1">
      <alignment horizontal="centerContinuous"/>
    </xf>
    <xf numFmtId="0" fontId="47" fillId="6" borderId="9" xfId="0" applyFont="1" applyFill="1" applyBorder="1" applyAlignment="1">
      <alignment horizontal="centerContinuous"/>
    </xf>
    <xf numFmtId="4" fontId="47" fillId="6" borderId="10" xfId="0" applyNumberFormat="1" applyFont="1" applyFill="1" applyBorder="1" applyAlignment="1">
      <alignment horizontal="centerContinuous"/>
    </xf>
    <xf numFmtId="173" fontId="47" fillId="6" borderId="6" xfId="0" applyNumberFormat="1" applyFont="1" applyFill="1" applyBorder="1" applyAlignment="1">
      <alignment horizontal="center"/>
    </xf>
    <xf numFmtId="0" fontId="47" fillId="6" borderId="8" xfId="0" applyFont="1" applyFill="1" applyBorder="1" applyAlignment="1">
      <alignment/>
    </xf>
    <xf numFmtId="4" fontId="47" fillId="6" borderId="6" xfId="0" applyNumberFormat="1" applyFont="1" applyFill="1" applyBorder="1" applyAlignment="1">
      <alignment horizontal="center"/>
    </xf>
    <xf numFmtId="0" fontId="47" fillId="6" borderId="6" xfId="0" applyFont="1" applyFill="1" applyBorder="1" applyAlignment="1">
      <alignment horizontal="center"/>
    </xf>
    <xf numFmtId="0" fontId="11" fillId="6" borderId="7" xfId="0" applyFont="1" applyFill="1" applyBorder="1" applyAlignment="1">
      <alignment horizontal="center"/>
    </xf>
    <xf numFmtId="4" fontId="11" fillId="6" borderId="7" xfId="0" applyNumberFormat="1" applyFont="1" applyFill="1" applyBorder="1" applyAlignment="1">
      <alignment horizontal="center"/>
    </xf>
    <xf numFmtId="173" fontId="11" fillId="6" borderId="7" xfId="0" applyNumberFormat="1" applyFont="1" applyFill="1" applyBorder="1" applyAlignment="1">
      <alignment horizontal="center"/>
    </xf>
    <xf numFmtId="0" fontId="50" fillId="4" borderId="33" xfId="0" applyFont="1" applyFill="1" applyBorder="1" applyAlignment="1">
      <alignment vertical="center"/>
    </xf>
    <xf numFmtId="4" fontId="50" fillId="4" borderId="33" xfId="0" applyNumberFormat="1" applyFont="1" applyFill="1" applyBorder="1" applyAlignment="1">
      <alignment vertical="center"/>
    </xf>
    <xf numFmtId="175" fontId="50" fillId="4" borderId="33" xfId="0" applyNumberFormat="1" applyFont="1" applyFill="1" applyBorder="1" applyAlignment="1">
      <alignment vertical="center"/>
    </xf>
    <xf numFmtId="4" fontId="49" fillId="4" borderId="33" xfId="0" applyNumberFormat="1" applyFont="1" applyFill="1" applyBorder="1" applyAlignment="1">
      <alignment vertical="center"/>
    </xf>
    <xf numFmtId="1" fontId="50" fillId="4" borderId="33" xfId="0" applyNumberFormat="1" applyFont="1" applyFill="1" applyBorder="1" applyAlignment="1">
      <alignment vertical="center"/>
    </xf>
    <xf numFmtId="173" fontId="49" fillId="4" borderId="33" xfId="0" applyNumberFormat="1" applyFont="1" applyFill="1" applyBorder="1" applyAlignment="1">
      <alignment vertical="center"/>
    </xf>
    <xf numFmtId="0" fontId="50" fillId="0" borderId="0" xfId="0" applyFont="1" applyFill="1" applyBorder="1" applyAlignment="1">
      <alignment vertical="center"/>
    </xf>
    <xf numFmtId="0" fontId="41" fillId="7" borderId="0" xfId="0" applyFont="1" applyFill="1" applyBorder="1" applyAlignment="1">
      <alignment/>
    </xf>
    <xf numFmtId="0" fontId="41" fillId="7" borderId="0" xfId="0" applyFont="1" applyFill="1" applyAlignment="1">
      <alignment/>
    </xf>
    <xf numFmtId="4" fontId="41" fillId="7" borderId="0" xfId="0" applyNumberFormat="1" applyFont="1" applyFill="1" applyBorder="1" applyAlignment="1">
      <alignment/>
    </xf>
    <xf numFmtId="173" fontId="41" fillId="7" borderId="0" xfId="0" applyNumberFormat="1" applyFont="1" applyFill="1" applyBorder="1" applyAlignment="1">
      <alignment/>
    </xf>
    <xf numFmtId="0" fontId="42" fillId="7" borderId="0" xfId="0" applyFont="1" applyFill="1" applyBorder="1" applyAlignment="1">
      <alignment horizontal="left"/>
    </xf>
    <xf numFmtId="4" fontId="42" fillId="7" borderId="0" xfId="0" applyNumberFormat="1" applyFont="1" applyFill="1" applyBorder="1" applyAlignment="1">
      <alignment horizontal="left"/>
    </xf>
    <xf numFmtId="0" fontId="43" fillId="7" borderId="0" xfId="0" applyFont="1" applyFill="1" applyBorder="1" applyAlignment="1">
      <alignment/>
    </xf>
    <xf numFmtId="0" fontId="44" fillId="7" borderId="0" xfId="0" applyFont="1" applyFill="1" applyBorder="1" applyAlignment="1">
      <alignment/>
    </xf>
    <xf numFmtId="4" fontId="44" fillId="7" borderId="0" xfId="0" applyNumberFormat="1" applyFont="1" applyFill="1" applyBorder="1" applyAlignment="1">
      <alignment/>
    </xf>
    <xf numFmtId="173" fontId="44" fillId="7" borderId="0" xfId="0" applyNumberFormat="1" applyFont="1" applyFill="1" applyBorder="1" applyAlignment="1">
      <alignment/>
    </xf>
    <xf numFmtId="0" fontId="46" fillId="7" borderId="0" xfId="0" applyFont="1" applyFill="1" applyBorder="1" applyAlignment="1">
      <alignment vertical="top"/>
    </xf>
    <xf numFmtId="4" fontId="46" fillId="7" borderId="0" xfId="0" applyNumberFormat="1" applyFont="1" applyFill="1" applyBorder="1" applyAlignment="1">
      <alignment vertical="top"/>
    </xf>
    <xf numFmtId="0" fontId="43" fillId="7" borderId="0" xfId="0" applyFont="1" applyFill="1" applyBorder="1" applyAlignment="1">
      <alignment vertical="top"/>
    </xf>
    <xf numFmtId="4" fontId="43" fillId="7" borderId="0" xfId="0" applyNumberFormat="1" applyFont="1" applyFill="1" applyBorder="1" applyAlignment="1">
      <alignment vertical="top"/>
    </xf>
    <xf numFmtId="173" fontId="43" fillId="7" borderId="0" xfId="0" applyNumberFormat="1" applyFont="1" applyFill="1" applyBorder="1" applyAlignment="1">
      <alignment vertical="top"/>
    </xf>
    <xf numFmtId="0" fontId="48" fillId="7" borderId="0" xfId="0" applyFont="1" applyFill="1" applyBorder="1" applyAlignment="1">
      <alignment/>
    </xf>
    <xf numFmtId="0" fontId="50" fillId="7" borderId="0" xfId="0" applyFont="1" applyFill="1" applyBorder="1" applyAlignment="1">
      <alignment vertical="center"/>
    </xf>
    <xf numFmtId="0" fontId="47" fillId="7" borderId="0" xfId="0" applyFont="1" applyFill="1" applyBorder="1" applyAlignment="1">
      <alignment horizontal="center"/>
    </xf>
    <xf numFmtId="0" fontId="11" fillId="7" borderId="0" xfId="0" applyFont="1" applyFill="1" applyBorder="1" applyAlignment="1">
      <alignment/>
    </xf>
    <xf numFmtId="0" fontId="48" fillId="7" borderId="0" xfId="0" applyFont="1" applyFill="1" applyBorder="1" applyAlignment="1">
      <alignment/>
    </xf>
    <xf numFmtId="0" fontId="48" fillId="12" borderId="44" xfId="0" applyFont="1" applyFill="1" applyBorder="1" applyAlignment="1">
      <alignment/>
    </xf>
    <xf numFmtId="0" fontId="52" fillId="7" borderId="0" xfId="0" applyFont="1" applyFill="1" applyBorder="1" applyAlignment="1">
      <alignment/>
    </xf>
    <xf numFmtId="0" fontId="45" fillId="7" borderId="3" xfId="0" applyFont="1" applyFill="1" applyBorder="1" applyAlignment="1">
      <alignment vertical="center"/>
    </xf>
    <xf numFmtId="0" fontId="43" fillId="7" borderId="3" xfId="0" applyFont="1" applyFill="1" applyBorder="1" applyAlignment="1">
      <alignment/>
    </xf>
    <xf numFmtId="0" fontId="51" fillId="7" borderId="0" xfId="0" applyFont="1" applyFill="1" applyBorder="1" applyAlignment="1">
      <alignment vertical="center"/>
    </xf>
    <xf numFmtId="0" fontId="41" fillId="0" borderId="14" xfId="0" applyFont="1" applyFill="1" applyBorder="1" applyAlignment="1">
      <alignment/>
    </xf>
    <xf numFmtId="0" fontId="43" fillId="0" borderId="14" xfId="0" applyFont="1" applyFill="1" applyBorder="1" applyAlignment="1">
      <alignment/>
    </xf>
    <xf numFmtId="0" fontId="43" fillId="0" borderId="14" xfId="0" applyFont="1" applyFill="1" applyBorder="1" applyAlignment="1">
      <alignment vertical="top"/>
    </xf>
    <xf numFmtId="0" fontId="47" fillId="0" borderId="14" xfId="0" applyFont="1" applyFill="1" applyBorder="1" applyAlignment="1">
      <alignment horizontal="center"/>
    </xf>
    <xf numFmtId="0" fontId="11" fillId="0" borderId="14" xfId="0" applyFont="1" applyFill="1" applyBorder="1" applyAlignment="1">
      <alignment/>
    </xf>
    <xf numFmtId="0" fontId="50" fillId="0" borderId="45" xfId="0" applyFont="1" applyFill="1" applyBorder="1" applyAlignment="1">
      <alignment vertical="center"/>
    </xf>
    <xf numFmtId="0" fontId="52" fillId="0" borderId="14" xfId="0" applyFont="1" applyFill="1" applyBorder="1" applyAlignment="1">
      <alignment/>
    </xf>
    <xf numFmtId="0" fontId="48" fillId="0" borderId="14" xfId="0" applyFont="1" applyFill="1" applyBorder="1" applyAlignment="1">
      <alignment/>
    </xf>
    <xf numFmtId="0" fontId="11" fillId="0" borderId="18" xfId="0" applyFont="1" applyFill="1" applyBorder="1" applyAlignment="1">
      <alignment/>
    </xf>
    <xf numFmtId="4" fontId="11" fillId="0" borderId="18" xfId="0" applyNumberFormat="1" applyFont="1" applyFill="1" applyBorder="1" applyAlignment="1">
      <alignment/>
    </xf>
    <xf numFmtId="173" fontId="11" fillId="0" borderId="18" xfId="0" applyNumberFormat="1" applyFont="1" applyFill="1" applyBorder="1" applyAlignment="1">
      <alignment/>
    </xf>
    <xf numFmtId="0" fontId="41" fillId="7" borderId="12" xfId="0" applyFont="1" applyFill="1" applyBorder="1" applyAlignment="1">
      <alignment/>
    </xf>
    <xf numFmtId="0" fontId="41" fillId="7" borderId="14" xfId="0" applyFont="1" applyFill="1" applyBorder="1" applyAlignment="1">
      <alignment/>
    </xf>
    <xf numFmtId="0" fontId="43" fillId="7" borderId="14" xfId="0" applyFont="1" applyFill="1" applyBorder="1" applyAlignment="1">
      <alignment/>
    </xf>
    <xf numFmtId="0" fontId="43" fillId="7" borderId="14" xfId="0" applyFont="1" applyFill="1" applyBorder="1" applyAlignment="1">
      <alignment vertical="top"/>
    </xf>
    <xf numFmtId="0" fontId="47" fillId="7" borderId="14" xfId="0" applyFont="1" applyFill="1" applyBorder="1" applyAlignment="1">
      <alignment horizontal="center"/>
    </xf>
    <xf numFmtId="0" fontId="11" fillId="7" borderId="14" xfId="0" applyFont="1" applyFill="1" applyBorder="1" applyAlignment="1">
      <alignment/>
    </xf>
    <xf numFmtId="0" fontId="50" fillId="7" borderId="14" xfId="0" applyFont="1" applyFill="1" applyBorder="1" applyAlignment="1">
      <alignment vertical="center"/>
    </xf>
    <xf numFmtId="0" fontId="52" fillId="7" borderId="14" xfId="0" applyFont="1" applyFill="1" applyBorder="1" applyAlignment="1">
      <alignment/>
    </xf>
    <xf numFmtId="0" fontId="48" fillId="7" borderId="14" xfId="0" applyFont="1" applyFill="1" applyBorder="1" applyAlignment="1">
      <alignment/>
    </xf>
    <xf numFmtId="2" fontId="2" fillId="6" borderId="6" xfId="0" applyNumberFormat="1" applyFont="1" applyFill="1" applyBorder="1" applyAlignment="1">
      <alignment horizontal="center" vertical="center"/>
    </xf>
    <xf numFmtId="2" fontId="2" fillId="6" borderId="9" xfId="0" applyNumberFormat="1" applyFont="1" applyFill="1" applyBorder="1" applyAlignment="1">
      <alignment horizontal="center" vertical="center" wrapText="1"/>
    </xf>
    <xf numFmtId="2" fontId="2" fillId="6" borderId="10" xfId="0" applyNumberFormat="1" applyFont="1" applyFill="1" applyBorder="1" applyAlignment="1">
      <alignment horizontal="center" vertical="center"/>
    </xf>
    <xf numFmtId="2" fontId="2" fillId="6" borderId="6" xfId="0" applyNumberFormat="1" applyFont="1" applyFill="1" applyBorder="1" applyAlignment="1">
      <alignment horizontal="center" vertical="center" wrapText="1"/>
    </xf>
    <xf numFmtId="2" fontId="2" fillId="6" borderId="6" xfId="0" applyNumberFormat="1" applyFont="1" applyFill="1" applyBorder="1" applyAlignment="1" applyProtection="1">
      <alignment horizontal="center" vertical="center" wrapText="1"/>
      <protection/>
    </xf>
    <xf numFmtId="0" fontId="11" fillId="7" borderId="13" xfId="0" applyFont="1" applyFill="1" applyBorder="1" applyAlignment="1">
      <alignment/>
    </xf>
    <xf numFmtId="0" fontId="12" fillId="7" borderId="0" xfId="0" applyFont="1" applyFill="1" applyBorder="1" applyAlignment="1">
      <alignment/>
    </xf>
    <xf numFmtId="4" fontId="12" fillId="7" borderId="0" xfId="0" applyNumberFormat="1" applyFont="1" applyFill="1" applyBorder="1" applyAlignment="1">
      <alignment/>
    </xf>
    <xf numFmtId="4" fontId="11" fillId="7" borderId="0" xfId="0" applyNumberFormat="1" applyFont="1" applyFill="1" applyBorder="1" applyAlignment="1">
      <alignment/>
    </xf>
    <xf numFmtId="0" fontId="11" fillId="7" borderId="0" xfId="0" applyFont="1" applyFill="1" applyBorder="1" applyAlignment="1">
      <alignment horizontal="left"/>
    </xf>
    <xf numFmtId="0" fontId="11" fillId="7" borderId="17" xfId="0" applyFont="1" applyFill="1" applyBorder="1" applyAlignment="1">
      <alignment/>
    </xf>
    <xf numFmtId="0" fontId="11" fillId="7" borderId="18" xfId="0" applyFont="1" applyFill="1" applyBorder="1" applyAlignment="1">
      <alignment horizontal="left"/>
    </xf>
    <xf numFmtId="4" fontId="11" fillId="7" borderId="18" xfId="0" applyNumberFormat="1" applyFont="1" applyFill="1" applyBorder="1" applyAlignment="1">
      <alignment/>
    </xf>
    <xf numFmtId="0" fontId="11" fillId="7" borderId="18" xfId="0" applyFont="1" applyFill="1" applyBorder="1" applyAlignment="1">
      <alignment/>
    </xf>
    <xf numFmtId="0" fontId="11" fillId="7" borderId="16" xfId="0" applyFont="1" applyFill="1" applyBorder="1" applyAlignment="1">
      <alignment/>
    </xf>
    <xf numFmtId="2" fontId="0" fillId="6" borderId="6" xfId="0" applyNumberFormat="1" applyFont="1" applyFill="1" applyBorder="1" applyAlignment="1">
      <alignment horizontal="left" vertical="center"/>
    </xf>
    <xf numFmtId="0" fontId="0" fillId="6" borderId="6" xfId="0" applyFill="1" applyBorder="1" applyAlignment="1">
      <alignment horizontal="left" vertical="center" wrapText="1"/>
    </xf>
    <xf numFmtId="2" fontId="0" fillId="6" borderId="6" xfId="0" applyNumberFormat="1" applyFont="1" applyFill="1" applyBorder="1" applyAlignment="1">
      <alignment horizontal="left" vertical="center" wrapText="1"/>
    </xf>
    <xf numFmtId="2" fontId="0" fillId="6" borderId="9" xfId="0" applyNumberFormat="1" applyFont="1" applyFill="1" applyBorder="1" applyAlignment="1">
      <alignment horizontal="center" vertical="center"/>
    </xf>
    <xf numFmtId="175" fontId="0" fillId="6" borderId="7" xfId="0" applyNumberFormat="1" applyFont="1" applyFill="1" applyBorder="1" applyAlignment="1">
      <alignment horizontal="center" vertical="center" wrapText="1"/>
    </xf>
    <xf numFmtId="175" fontId="0" fillId="6" borderId="10" xfId="0" applyNumberFormat="1" applyFont="1" applyFill="1" applyBorder="1" applyAlignment="1">
      <alignment horizontal="center" vertical="center" wrapText="1"/>
    </xf>
    <xf numFmtId="175" fontId="0" fillId="6" borderId="6" xfId="0" applyNumberFormat="1" applyFont="1" applyFill="1" applyBorder="1" applyAlignment="1">
      <alignment horizontal="center" vertical="center" wrapText="1"/>
    </xf>
    <xf numFmtId="0" fontId="41" fillId="7" borderId="0" xfId="0" applyFont="1" applyFill="1" applyBorder="1" applyAlignment="1" applyProtection="1">
      <alignment/>
      <protection/>
    </xf>
    <xf numFmtId="0" fontId="47" fillId="7" borderId="0" xfId="0" applyFont="1" applyFill="1" applyBorder="1" applyAlignment="1" applyProtection="1">
      <alignment horizontal="center"/>
      <protection/>
    </xf>
    <xf numFmtId="0" fontId="11" fillId="7" borderId="0" xfId="0" applyFont="1" applyFill="1" applyBorder="1" applyAlignment="1" applyProtection="1">
      <alignment/>
      <protection/>
    </xf>
    <xf numFmtId="0" fontId="48" fillId="7" borderId="0" xfId="0" applyFont="1" applyFill="1" applyBorder="1" applyAlignment="1" applyProtection="1">
      <alignment/>
      <protection/>
    </xf>
    <xf numFmtId="0" fontId="60" fillId="7" borderId="0" xfId="0" applyFont="1" applyFill="1" applyBorder="1" applyAlignment="1" applyProtection="1">
      <alignment horizontal="left"/>
      <protection/>
    </xf>
    <xf numFmtId="0" fontId="42" fillId="7" borderId="0" xfId="0" applyFont="1" applyFill="1" applyBorder="1" applyAlignment="1" applyProtection="1">
      <alignment horizontal="left"/>
      <protection/>
    </xf>
    <xf numFmtId="0" fontId="43" fillId="7" borderId="0" xfId="0" applyFont="1" applyFill="1" applyBorder="1" applyAlignment="1" applyProtection="1">
      <alignment/>
      <protection/>
    </xf>
    <xf numFmtId="0" fontId="44" fillId="7" borderId="0" xfId="0" applyFont="1" applyFill="1" applyBorder="1" applyAlignment="1" applyProtection="1">
      <alignment/>
      <protection/>
    </xf>
    <xf numFmtId="172" fontId="44" fillId="7" borderId="0" xfId="0" applyNumberFormat="1" applyFont="1" applyFill="1" applyBorder="1" applyAlignment="1" applyProtection="1">
      <alignment/>
      <protection/>
    </xf>
    <xf numFmtId="0" fontId="46" fillId="7" borderId="0" xfId="0" applyFont="1" applyFill="1" applyBorder="1" applyAlignment="1" applyProtection="1">
      <alignment vertical="top"/>
      <protection/>
    </xf>
    <xf numFmtId="0" fontId="43" fillId="7" borderId="0" xfId="0" applyFont="1" applyFill="1" applyBorder="1" applyAlignment="1" applyProtection="1">
      <alignment vertical="top"/>
      <protection/>
    </xf>
    <xf numFmtId="172" fontId="43" fillId="7" borderId="0" xfId="0" applyNumberFormat="1" applyFont="1" applyFill="1" applyBorder="1" applyAlignment="1" applyProtection="1">
      <alignment vertical="top"/>
      <protection/>
    </xf>
    <xf numFmtId="0" fontId="48" fillId="14" borderId="38" xfId="0" applyFont="1" applyFill="1" applyBorder="1" applyAlignment="1" applyProtection="1">
      <alignment/>
      <protection locked="0"/>
    </xf>
    <xf numFmtId="0" fontId="48" fillId="14" borderId="42" xfId="0" applyFont="1" applyFill="1" applyBorder="1" applyAlignment="1" applyProtection="1">
      <alignment/>
      <protection locked="0"/>
    </xf>
    <xf numFmtId="0" fontId="5" fillId="4" borderId="0" xfId="0" applyFont="1" applyFill="1" applyBorder="1" applyAlignment="1" applyProtection="1">
      <alignment vertical="center"/>
      <protection/>
    </xf>
    <xf numFmtId="0" fontId="50" fillId="4" borderId="0" xfId="0" applyFont="1" applyFill="1" applyBorder="1" applyAlignment="1" applyProtection="1">
      <alignment vertical="center"/>
      <protection/>
    </xf>
    <xf numFmtId="175" fontId="50" fillId="4" borderId="0" xfId="0" applyNumberFormat="1" applyFont="1" applyFill="1" applyBorder="1" applyAlignment="1" applyProtection="1">
      <alignment vertical="center"/>
      <protection/>
    </xf>
    <xf numFmtId="172" fontId="49" fillId="4" borderId="0" xfId="0" applyNumberFormat="1" applyFont="1" applyFill="1" applyBorder="1" applyAlignment="1" applyProtection="1">
      <alignment vertical="center"/>
      <protection/>
    </xf>
    <xf numFmtId="0" fontId="48" fillId="14" borderId="21" xfId="0" applyFont="1" applyFill="1" applyBorder="1" applyAlignment="1" applyProtection="1">
      <alignment/>
      <protection/>
    </xf>
    <xf numFmtId="0" fontId="48" fillId="14" borderId="15" xfId="0" applyFont="1" applyFill="1" applyBorder="1" applyAlignment="1" applyProtection="1">
      <alignment/>
      <protection/>
    </xf>
    <xf numFmtId="0" fontId="48" fillId="14" borderId="20" xfId="0" applyFont="1" applyFill="1" applyBorder="1" applyAlignment="1" applyProtection="1">
      <alignment/>
      <protection/>
    </xf>
    <xf numFmtId="0" fontId="48" fillId="5" borderId="8" xfId="0" applyFont="1" applyFill="1" applyBorder="1" applyAlignment="1" applyProtection="1">
      <alignment horizontal="right"/>
      <protection locked="0"/>
    </xf>
    <xf numFmtId="0" fontId="49" fillId="4" borderId="0" xfId="0" applyFont="1" applyFill="1" applyBorder="1" applyAlignment="1" applyProtection="1">
      <alignment vertical="center"/>
      <protection/>
    </xf>
    <xf numFmtId="172" fontId="5" fillId="4" borderId="0" xfId="0" applyNumberFormat="1" applyFont="1" applyFill="1" applyBorder="1" applyAlignment="1" applyProtection="1">
      <alignment vertical="center"/>
      <protection/>
    </xf>
    <xf numFmtId="0" fontId="50" fillId="7" borderId="0" xfId="0" applyFont="1" applyFill="1" applyBorder="1" applyAlignment="1" applyProtection="1">
      <alignment vertical="center"/>
      <protection/>
    </xf>
    <xf numFmtId="0" fontId="52" fillId="7" borderId="0" xfId="0" applyFont="1" applyFill="1" applyBorder="1" applyAlignment="1" applyProtection="1">
      <alignment/>
      <protection/>
    </xf>
    <xf numFmtId="0" fontId="11" fillId="7" borderId="0" xfId="0" applyFont="1" applyFill="1" applyBorder="1" applyAlignment="1" applyProtection="1">
      <alignment/>
      <protection/>
    </xf>
    <xf numFmtId="0" fontId="43" fillId="7" borderId="26" xfId="0" applyFont="1" applyFill="1" applyBorder="1" applyAlignment="1" applyProtection="1">
      <alignment vertical="top"/>
      <protection/>
    </xf>
    <xf numFmtId="0" fontId="62" fillId="11" borderId="20" xfId="0" applyFont="1" applyFill="1" applyBorder="1" applyAlignment="1" applyProtection="1">
      <alignment/>
      <protection/>
    </xf>
    <xf numFmtId="0" fontId="52" fillId="11" borderId="20" xfId="0" applyFont="1" applyFill="1" applyBorder="1" applyAlignment="1" applyProtection="1">
      <alignment/>
      <protection/>
    </xf>
    <xf numFmtId="175" fontId="52" fillId="11" borderId="20" xfId="0" applyNumberFormat="1" applyFont="1" applyFill="1" applyBorder="1" applyAlignment="1" applyProtection="1">
      <alignment/>
      <protection/>
    </xf>
    <xf numFmtId="0" fontId="53" fillId="7" borderId="0" xfId="0" applyFont="1" applyFill="1" applyBorder="1" applyAlignment="1" applyProtection="1">
      <alignment/>
      <protection/>
    </xf>
    <xf numFmtId="175" fontId="48" fillId="7" borderId="0" xfId="0" applyNumberFormat="1" applyFont="1" applyFill="1" applyBorder="1" applyAlignment="1" applyProtection="1">
      <alignment/>
      <protection/>
    </xf>
    <xf numFmtId="172" fontId="49" fillId="7" borderId="0" xfId="0" applyNumberFormat="1" applyFont="1" applyFill="1" applyBorder="1" applyAlignment="1" applyProtection="1">
      <alignment/>
      <protection/>
    </xf>
    <xf numFmtId="0" fontId="48" fillId="7" borderId="0" xfId="0" applyFont="1" applyFill="1" applyAlignment="1" applyProtection="1">
      <alignment/>
      <protection/>
    </xf>
    <xf numFmtId="0" fontId="11" fillId="7" borderId="0" xfId="0" applyFont="1" applyFill="1" applyAlignment="1" applyProtection="1">
      <alignment/>
      <protection/>
    </xf>
    <xf numFmtId="0" fontId="52" fillId="7" borderId="0" xfId="0" applyFont="1" applyFill="1" applyAlignment="1" applyProtection="1">
      <alignment/>
      <protection/>
    </xf>
    <xf numFmtId="0" fontId="48" fillId="7" borderId="0" xfId="0" applyFont="1" applyFill="1" applyBorder="1" applyAlignment="1" applyProtection="1">
      <alignment/>
      <protection/>
    </xf>
    <xf numFmtId="0" fontId="47" fillId="6" borderId="9" xfId="0" applyFont="1" applyFill="1" applyBorder="1" applyAlignment="1" applyProtection="1">
      <alignment horizontal="centerContinuous"/>
      <protection/>
    </xf>
    <xf numFmtId="0" fontId="47" fillId="6" borderId="31" xfId="0" applyFont="1" applyFill="1" applyBorder="1" applyAlignment="1" applyProtection="1">
      <alignment horizontal="centerContinuous"/>
      <protection/>
    </xf>
    <xf numFmtId="0" fontId="47" fillId="6" borderId="10" xfId="0" applyFont="1" applyFill="1" applyBorder="1" applyAlignment="1" applyProtection="1">
      <alignment horizontal="centerContinuous"/>
      <protection/>
    </xf>
    <xf numFmtId="172" fontId="47" fillId="6" borderId="10" xfId="0" applyNumberFormat="1" applyFont="1" applyFill="1" applyBorder="1" applyAlignment="1" applyProtection="1">
      <alignment horizontal="centerContinuous"/>
      <protection/>
    </xf>
    <xf numFmtId="172" fontId="47" fillId="6" borderId="6" xfId="0" applyNumberFormat="1" applyFont="1" applyFill="1" applyBorder="1" applyAlignment="1" applyProtection="1">
      <alignment horizontal="center"/>
      <protection/>
    </xf>
    <xf numFmtId="0" fontId="11" fillId="6" borderId="7" xfId="0" applyFont="1" applyFill="1" applyBorder="1" applyAlignment="1" applyProtection="1">
      <alignment horizontal="center"/>
      <protection/>
    </xf>
    <xf numFmtId="172" fontId="11" fillId="6" borderId="38" xfId="0" applyNumberFormat="1" applyFont="1" applyFill="1" applyBorder="1" applyAlignment="1" applyProtection="1">
      <alignment horizontal="center"/>
      <protection/>
    </xf>
    <xf numFmtId="0" fontId="41" fillId="0" borderId="18" xfId="0" applyFont="1" applyFill="1" applyBorder="1" applyAlignment="1" applyProtection="1">
      <alignment/>
      <protection/>
    </xf>
    <xf numFmtId="172" fontId="41" fillId="0" borderId="18" xfId="0" applyNumberFormat="1" applyFont="1" applyFill="1" applyBorder="1" applyAlignment="1" applyProtection="1">
      <alignment/>
      <protection/>
    </xf>
    <xf numFmtId="0" fontId="41" fillId="7" borderId="12" xfId="0" applyFont="1" applyFill="1" applyBorder="1" applyAlignment="1" applyProtection="1">
      <alignment/>
      <protection/>
    </xf>
    <xf numFmtId="0" fontId="44" fillId="7" borderId="14" xfId="0" applyFont="1" applyFill="1" applyBorder="1" applyAlignment="1" applyProtection="1">
      <alignment/>
      <protection/>
    </xf>
    <xf numFmtId="0" fontId="43" fillId="7" borderId="14" xfId="0" applyFont="1" applyFill="1" applyBorder="1" applyAlignment="1" applyProtection="1">
      <alignment vertical="top"/>
      <protection/>
    </xf>
    <xf numFmtId="0" fontId="47" fillId="7" borderId="14" xfId="0" applyFont="1" applyFill="1" applyBorder="1" applyAlignment="1" applyProtection="1">
      <alignment horizontal="center"/>
      <protection/>
    </xf>
    <xf numFmtId="0" fontId="11" fillId="7" borderId="14" xfId="0" applyFont="1" applyFill="1" applyBorder="1" applyAlignment="1" applyProtection="1">
      <alignment/>
      <protection/>
    </xf>
    <xf numFmtId="0" fontId="50" fillId="7" borderId="14" xfId="0" applyFont="1" applyFill="1" applyBorder="1" applyAlignment="1" applyProtection="1">
      <alignment vertical="center"/>
      <protection/>
    </xf>
    <xf numFmtId="0" fontId="52" fillId="7" borderId="14" xfId="0" applyFont="1" applyFill="1" applyBorder="1" applyAlignment="1" applyProtection="1">
      <alignment/>
      <protection/>
    </xf>
    <xf numFmtId="0" fontId="48" fillId="7" borderId="14" xfId="0" applyFont="1" applyFill="1" applyBorder="1" applyAlignment="1" applyProtection="1">
      <alignment/>
      <protection/>
    </xf>
    <xf numFmtId="0" fontId="11" fillId="7" borderId="14" xfId="0" applyFont="1" applyFill="1" applyBorder="1" applyAlignment="1" applyProtection="1">
      <alignment/>
      <protection/>
    </xf>
    <xf numFmtId="0" fontId="49" fillId="7" borderId="0" xfId="0" applyFont="1" applyFill="1" applyBorder="1" applyAlignment="1" applyProtection="1">
      <alignment vertical="center"/>
      <protection/>
    </xf>
    <xf numFmtId="0" fontId="49" fillId="7" borderId="14" xfId="0" applyFont="1" applyFill="1" applyBorder="1" applyAlignment="1" applyProtection="1">
      <alignment vertical="center"/>
      <protection/>
    </xf>
    <xf numFmtId="0" fontId="11" fillId="7" borderId="18" xfId="0" applyFont="1" applyFill="1" applyBorder="1" applyAlignment="1" applyProtection="1">
      <alignment/>
      <protection/>
    </xf>
    <xf numFmtId="172" fontId="11" fillId="7" borderId="18" xfId="0" applyNumberFormat="1" applyFont="1" applyFill="1" applyBorder="1" applyAlignment="1" applyProtection="1">
      <alignment/>
      <protection/>
    </xf>
    <xf numFmtId="0" fontId="11" fillId="7" borderId="18" xfId="0" applyFont="1" applyFill="1" applyBorder="1" applyAlignment="1" applyProtection="1">
      <alignment/>
      <protection/>
    </xf>
    <xf numFmtId="0" fontId="11" fillId="7" borderId="16" xfId="0" applyFont="1" applyFill="1" applyBorder="1" applyAlignment="1" applyProtection="1">
      <alignment/>
      <protection/>
    </xf>
    <xf numFmtId="0" fontId="11" fillId="0" borderId="14" xfId="0" applyFont="1" applyFill="1" applyBorder="1" applyAlignment="1" applyProtection="1">
      <alignment/>
      <protection/>
    </xf>
    <xf numFmtId="0" fontId="11" fillId="0" borderId="10" xfId="0" applyFont="1" applyBorder="1" applyAlignment="1">
      <alignment/>
    </xf>
    <xf numFmtId="0" fontId="11" fillId="0" borderId="10" xfId="0" applyFont="1" applyFill="1" applyBorder="1" applyAlignment="1" applyProtection="1">
      <alignment/>
      <protection/>
    </xf>
    <xf numFmtId="0" fontId="47" fillId="6" borderId="0" xfId="0" applyFont="1" applyFill="1" applyAlignment="1">
      <alignment horizontal="center"/>
    </xf>
    <xf numFmtId="0" fontId="47" fillId="6" borderId="42" xfId="0" applyFont="1" applyFill="1" applyBorder="1" applyAlignment="1">
      <alignment horizontal="centerContinuous"/>
    </xf>
    <xf numFmtId="0" fontId="11" fillId="6" borderId="15" xfId="0" applyFont="1" applyFill="1" applyBorder="1" applyAlignment="1">
      <alignment horizontal="center"/>
    </xf>
    <xf numFmtId="0" fontId="47" fillId="6" borderId="6" xfId="0" applyFont="1" applyFill="1" applyBorder="1" applyAlignment="1">
      <alignment horizontal="centerContinuous"/>
    </xf>
    <xf numFmtId="0" fontId="47" fillId="6" borderId="42" xfId="0" applyFont="1" applyFill="1" applyBorder="1" applyAlignment="1">
      <alignment horizontal="left"/>
    </xf>
    <xf numFmtId="0" fontId="11" fillId="6" borderId="19" xfId="0" applyFont="1" applyFill="1" applyBorder="1" applyAlignment="1">
      <alignment horizontal="center"/>
    </xf>
    <xf numFmtId="0" fontId="11" fillId="6" borderId="6" xfId="0" applyFont="1" applyFill="1" applyBorder="1" applyAlignment="1">
      <alignment horizontal="centerContinuous"/>
    </xf>
    <xf numFmtId="0" fontId="13" fillId="0" borderId="6" xfId="0" applyFont="1" applyBorder="1" applyAlignment="1">
      <alignment horizontal="center" wrapText="1"/>
    </xf>
    <xf numFmtId="0" fontId="13" fillId="0" borderId="20" xfId="0" applyFont="1" applyBorder="1" applyAlignment="1">
      <alignment horizontal="center" wrapText="1"/>
    </xf>
    <xf numFmtId="0" fontId="13" fillId="0" borderId="8" xfId="0" applyFont="1" applyBorder="1" applyAlignment="1">
      <alignment horizontal="center" wrapText="1"/>
    </xf>
    <xf numFmtId="0" fontId="0" fillId="11" borderId="19" xfId="0" applyFill="1" applyBorder="1" applyAlignment="1">
      <alignment horizontal="center"/>
    </xf>
    <xf numFmtId="0" fontId="0" fillId="11" borderId="15" xfId="0" applyFill="1" applyBorder="1" applyAlignment="1">
      <alignment/>
    </xf>
    <xf numFmtId="0" fontId="0" fillId="11" borderId="8" xfId="0" applyFill="1" applyBorder="1" applyAlignment="1">
      <alignment/>
    </xf>
    <xf numFmtId="0" fontId="0" fillId="7" borderId="0" xfId="0" applyFont="1" applyFill="1" applyBorder="1" applyAlignment="1">
      <alignment vertical="center"/>
    </xf>
    <xf numFmtId="0" fontId="11" fillId="7" borderId="18" xfId="0" applyFont="1" applyFill="1" applyBorder="1" applyAlignment="1" applyProtection="1">
      <alignment/>
      <protection locked="0"/>
    </xf>
    <xf numFmtId="3" fontId="11" fillId="7" borderId="18" xfId="0" applyNumberFormat="1" applyFont="1" applyFill="1" applyBorder="1" applyAlignment="1" applyProtection="1">
      <alignment horizontal="center"/>
      <protection locked="0"/>
    </xf>
    <xf numFmtId="0" fontId="11" fillId="7" borderId="18" xfId="0" applyFont="1" applyFill="1" applyBorder="1" applyAlignment="1">
      <alignment/>
    </xf>
    <xf numFmtId="172" fontId="11" fillId="7" borderId="18" xfId="0" applyNumberFormat="1" applyFont="1" applyFill="1" applyBorder="1" applyAlignment="1">
      <alignment/>
    </xf>
    <xf numFmtId="0" fontId="11" fillId="0" borderId="19" xfId="0" applyFont="1" applyFill="1" applyBorder="1" applyAlignment="1" applyProtection="1">
      <alignment/>
      <protection/>
    </xf>
    <xf numFmtId="172" fontId="11" fillId="8" borderId="8" xfId="0" applyNumberFormat="1" applyFont="1" applyFill="1" applyBorder="1" applyAlignment="1">
      <alignment horizontal="center"/>
    </xf>
    <xf numFmtId="0" fontId="47" fillId="6" borderId="15" xfId="0" applyFont="1" applyFill="1" applyBorder="1" applyAlignment="1">
      <alignment/>
    </xf>
    <xf numFmtId="0" fontId="47" fillId="6" borderId="19" xfId="0" applyFont="1" applyFill="1" applyBorder="1" applyAlignment="1">
      <alignment/>
    </xf>
    <xf numFmtId="0" fontId="19" fillId="11" borderId="10" xfId="0" applyFont="1" applyFill="1" applyBorder="1" applyAlignment="1">
      <alignment/>
    </xf>
    <xf numFmtId="0" fontId="47" fillId="6" borderId="9" xfId="0" applyFont="1" applyFill="1" applyBorder="1" applyAlignment="1">
      <alignment horizontal="center"/>
    </xf>
    <xf numFmtId="0" fontId="0" fillId="7" borderId="0" xfId="0" applyFill="1" applyBorder="1" applyAlignment="1">
      <alignment horizontal="left"/>
    </xf>
    <xf numFmtId="2" fontId="0" fillId="7" borderId="0" xfId="0" applyNumberFormat="1" applyFill="1" applyBorder="1" applyAlignment="1">
      <alignment horizontal="left"/>
    </xf>
    <xf numFmtId="2" fontId="3" fillId="7" borderId="0" xfId="0" applyNumberFormat="1" applyFont="1" applyFill="1" applyBorder="1" applyAlignment="1">
      <alignment/>
    </xf>
    <xf numFmtId="0" fontId="0" fillId="0" borderId="18" xfId="0" applyFill="1" applyBorder="1" applyAlignment="1">
      <alignment horizontal="left"/>
    </xf>
    <xf numFmtId="2" fontId="0" fillId="0" borderId="18" xfId="0" applyNumberFormat="1" applyFill="1" applyBorder="1" applyAlignment="1">
      <alignment horizontal="left"/>
    </xf>
    <xf numFmtId="2" fontId="3" fillId="0" borderId="18" xfId="0" applyNumberFormat="1" applyFont="1" applyFill="1" applyBorder="1" applyAlignment="1">
      <alignment/>
    </xf>
    <xf numFmtId="2" fontId="0" fillId="0" borderId="18" xfId="0" applyNumberFormat="1" applyFill="1" applyBorder="1" applyAlignment="1">
      <alignment/>
    </xf>
    <xf numFmtId="0" fontId="0" fillId="0" borderId="18" xfId="0" applyFill="1" applyBorder="1" applyAlignment="1">
      <alignment/>
    </xf>
    <xf numFmtId="0" fontId="17" fillId="7" borderId="13" xfId="0" applyFont="1" applyFill="1" applyBorder="1" applyAlignment="1">
      <alignment/>
    </xf>
    <xf numFmtId="0" fontId="0" fillId="7" borderId="0" xfId="0" applyFont="1" applyFill="1" applyBorder="1" applyAlignment="1" applyProtection="1">
      <alignment/>
      <protection/>
    </xf>
    <xf numFmtId="0" fontId="11" fillId="12" borderId="0" xfId="0" applyFont="1" applyFill="1" applyAlignment="1">
      <alignment/>
    </xf>
    <xf numFmtId="0" fontId="49" fillId="12" borderId="10" xfId="0" applyFont="1" applyFill="1" applyBorder="1" applyAlignment="1">
      <alignment horizontal="center"/>
    </xf>
    <xf numFmtId="3" fontId="50" fillId="12" borderId="6" xfId="0" applyNumberFormat="1" applyFont="1" applyFill="1" applyBorder="1" applyAlignment="1">
      <alignment/>
    </xf>
    <xf numFmtId="0" fontId="49" fillId="12" borderId="6" xfId="0" applyFont="1" applyFill="1" applyBorder="1" applyAlignment="1">
      <alignment horizontal="center"/>
    </xf>
    <xf numFmtId="0" fontId="5" fillId="12" borderId="6" xfId="0" applyFont="1" applyFill="1" applyBorder="1" applyAlignment="1">
      <alignment horizontal="left"/>
    </xf>
    <xf numFmtId="0" fontId="11" fillId="12" borderId="6" xfId="0" applyFont="1" applyFill="1" applyBorder="1" applyAlignment="1" applyProtection="1">
      <alignment/>
      <protection/>
    </xf>
    <xf numFmtId="0" fontId="11" fillId="7" borderId="11" xfId="0" applyFont="1" applyFill="1" applyBorder="1" applyAlignment="1">
      <alignment/>
    </xf>
    <xf numFmtId="0" fontId="11" fillId="7" borderId="5" xfId="0" applyFont="1" applyFill="1" applyBorder="1" applyAlignment="1">
      <alignment/>
    </xf>
    <xf numFmtId="4" fontId="11" fillId="7" borderId="5" xfId="0" applyNumberFormat="1" applyFont="1" applyFill="1" applyBorder="1" applyAlignment="1">
      <alignment/>
    </xf>
    <xf numFmtId="173" fontId="11" fillId="7" borderId="12" xfId="0" applyNumberFormat="1" applyFont="1" applyFill="1" applyBorder="1" applyAlignment="1">
      <alignment/>
    </xf>
    <xf numFmtId="173" fontId="11" fillId="7" borderId="16" xfId="0" applyNumberFormat="1" applyFont="1" applyFill="1" applyBorder="1" applyAlignment="1">
      <alignment/>
    </xf>
    <xf numFmtId="4" fontId="2" fillId="7" borderId="0" xfId="0" applyNumberFormat="1" applyFont="1" applyFill="1" applyBorder="1" applyAlignment="1">
      <alignment horizontal="center" vertical="center"/>
    </xf>
    <xf numFmtId="4" fontId="0" fillId="7" borderId="0" xfId="0" applyNumberFormat="1" applyFill="1" applyBorder="1" applyAlignment="1">
      <alignment horizontal="center" vertical="center" wrapText="1"/>
    </xf>
    <xf numFmtId="4" fontId="0" fillId="7" borderId="0" xfId="0" applyNumberFormat="1" applyFill="1" applyBorder="1" applyAlignment="1">
      <alignment horizontal="center" vertical="center"/>
    </xf>
    <xf numFmtId="2" fontId="2" fillId="9" borderId="6" xfId="0" applyNumberFormat="1" applyFont="1" applyFill="1" applyBorder="1" applyAlignment="1">
      <alignment/>
    </xf>
    <xf numFmtId="0" fontId="5" fillId="7" borderId="13" xfId="0" applyFont="1" applyFill="1" applyBorder="1" applyAlignment="1">
      <alignment vertical="center"/>
    </xf>
    <xf numFmtId="0" fontId="49" fillId="7" borderId="0" xfId="0" applyFont="1" applyFill="1" applyBorder="1" applyAlignment="1">
      <alignment vertical="center"/>
    </xf>
    <xf numFmtId="4" fontId="50" fillId="7" borderId="0" xfId="0" applyNumberFormat="1" applyFont="1" applyFill="1" applyBorder="1" applyAlignment="1">
      <alignment vertical="center"/>
    </xf>
    <xf numFmtId="175" fontId="50" fillId="7" borderId="0" xfId="0" applyNumberFormat="1" applyFont="1" applyFill="1" applyBorder="1" applyAlignment="1">
      <alignment vertical="center"/>
    </xf>
    <xf numFmtId="173" fontId="49" fillId="7" borderId="0" xfId="0" applyNumberFormat="1" applyFont="1" applyFill="1" applyBorder="1" applyAlignment="1">
      <alignment vertical="center"/>
    </xf>
    <xf numFmtId="172" fontId="11" fillId="7" borderId="0" xfId="0" applyNumberFormat="1" applyFont="1" applyFill="1" applyBorder="1" applyAlignment="1" applyProtection="1">
      <alignment/>
      <protection/>
    </xf>
    <xf numFmtId="0" fontId="0" fillId="6" borderId="42" xfId="0" applyFill="1" applyBorder="1" applyAlignment="1">
      <alignment horizontal="center" vertical="center"/>
    </xf>
    <xf numFmtId="0" fontId="0" fillId="6" borderId="38" xfId="0" applyFill="1" applyBorder="1" applyAlignment="1">
      <alignment horizontal="center" vertical="center"/>
    </xf>
    <xf numFmtId="0" fontId="0" fillId="6" borderId="19" xfId="0" applyFill="1" applyBorder="1" applyAlignment="1">
      <alignment horizontal="center" vertical="center"/>
    </xf>
    <xf numFmtId="0" fontId="0" fillId="6" borderId="8" xfId="0" applyFill="1" applyBorder="1" applyAlignment="1">
      <alignment horizontal="center" vertical="center"/>
    </xf>
    <xf numFmtId="0" fontId="0" fillId="6" borderId="26" xfId="0" applyFill="1" applyBorder="1" applyAlignment="1">
      <alignment horizontal="center" vertical="center"/>
    </xf>
    <xf numFmtId="0" fontId="0" fillId="6" borderId="3" xfId="0" applyFill="1" applyBorder="1" applyAlignment="1">
      <alignment horizontal="center" vertical="center"/>
    </xf>
    <xf numFmtId="2" fontId="0" fillId="6" borderId="38" xfId="0" applyNumberFormat="1" applyFill="1" applyBorder="1" applyAlignment="1">
      <alignment horizontal="center" vertical="center"/>
    </xf>
    <xf numFmtId="2" fontId="0" fillId="6" borderId="26" xfId="0" applyNumberFormat="1" applyFill="1" applyBorder="1" applyAlignment="1">
      <alignment horizontal="center" vertical="center"/>
    </xf>
    <xf numFmtId="0" fontId="2" fillId="6" borderId="21" xfId="0" applyFont="1" applyFill="1" applyBorder="1" applyAlignment="1">
      <alignment horizontal="left" vertical="center"/>
    </xf>
    <xf numFmtId="2" fontId="0" fillId="6" borderId="0" xfId="0" applyNumberFormat="1" applyFill="1" applyBorder="1" applyAlignment="1">
      <alignment horizontal="center" vertical="center"/>
    </xf>
    <xf numFmtId="0" fontId="0" fillId="6" borderId="0" xfId="0" applyFill="1" applyBorder="1" applyAlignment="1">
      <alignment horizontal="center" vertical="center"/>
    </xf>
    <xf numFmtId="0" fontId="0" fillId="6" borderId="15" xfId="0" applyFill="1" applyBorder="1" applyAlignment="1">
      <alignment horizontal="center" vertical="center"/>
    </xf>
    <xf numFmtId="2" fontId="0" fillId="6" borderId="34" xfId="0" applyNumberFormat="1" applyFill="1" applyBorder="1" applyAlignment="1">
      <alignment horizontal="center" vertical="center"/>
    </xf>
    <xf numFmtId="2" fontId="0" fillId="6" borderId="3" xfId="0" applyNumberFormat="1" applyFill="1" applyBorder="1" applyAlignment="1">
      <alignment horizontal="center" vertical="center"/>
    </xf>
    <xf numFmtId="0" fontId="0" fillId="7" borderId="0" xfId="0" applyFill="1" applyBorder="1" applyAlignment="1">
      <alignment horizontal="center"/>
    </xf>
    <xf numFmtId="0" fontId="0" fillId="7" borderId="32" xfId="0" applyFill="1" applyBorder="1" applyAlignment="1">
      <alignment/>
    </xf>
    <xf numFmtId="0" fontId="2" fillId="6" borderId="20" xfId="0" applyFont="1" applyFill="1" applyBorder="1" applyAlignment="1">
      <alignment horizontal="center" vertical="center"/>
    </xf>
    <xf numFmtId="0" fontId="1" fillId="7" borderId="18" xfId="0" applyFont="1" applyFill="1" applyBorder="1" applyAlignment="1">
      <alignment vertical="center" wrapText="1"/>
    </xf>
    <xf numFmtId="0" fontId="1" fillId="7" borderId="5" xfId="0" applyFont="1" applyFill="1" applyBorder="1" applyAlignment="1">
      <alignment vertical="center"/>
    </xf>
    <xf numFmtId="0" fontId="1" fillId="7" borderId="5" xfId="0" applyFont="1" applyFill="1" applyBorder="1" applyAlignment="1">
      <alignment horizontal="center" vertical="center"/>
    </xf>
    <xf numFmtId="0" fontId="6" fillId="7" borderId="5" xfId="0" applyFont="1" applyFill="1" applyBorder="1" applyAlignment="1">
      <alignment vertical="center"/>
    </xf>
    <xf numFmtId="0" fontId="26" fillId="7" borderId="5" xfId="0" applyFont="1" applyFill="1" applyBorder="1" applyAlignment="1">
      <alignment vertical="center"/>
    </xf>
    <xf numFmtId="0" fontId="26" fillId="7" borderId="0" xfId="0" applyFont="1" applyFill="1" applyBorder="1" applyAlignment="1">
      <alignment vertical="center" wrapText="1"/>
    </xf>
    <xf numFmtId="0" fontId="26" fillId="7" borderId="0" xfId="0" applyFont="1" applyFill="1" applyBorder="1" applyAlignment="1">
      <alignment vertical="center"/>
    </xf>
    <xf numFmtId="0" fontId="0" fillId="7" borderId="0" xfId="0" applyFill="1" applyBorder="1" applyAlignment="1">
      <alignment vertical="center"/>
    </xf>
    <xf numFmtId="0" fontId="0" fillId="7" borderId="18" xfId="0"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0" fontId="0" fillId="0" borderId="5" xfId="0" applyFill="1" applyBorder="1" applyAlignment="1">
      <alignment/>
    </xf>
    <xf numFmtId="0" fontId="6" fillId="0" borderId="5" xfId="0" applyFont="1" applyFill="1" applyBorder="1" applyAlignment="1">
      <alignment/>
    </xf>
    <xf numFmtId="0" fontId="17" fillId="0" borderId="5" xfId="0" applyFont="1" applyFill="1" applyBorder="1" applyAlignment="1">
      <alignment horizontal="center"/>
    </xf>
    <xf numFmtId="2" fontId="0" fillId="0" borderId="5" xfId="0" applyNumberFormat="1" applyFill="1" applyBorder="1" applyAlignment="1">
      <alignment/>
    </xf>
    <xf numFmtId="2" fontId="0" fillId="0" borderId="12" xfId="0" applyNumberFormat="1" applyFill="1" applyBorder="1" applyAlignment="1">
      <alignment/>
    </xf>
    <xf numFmtId="2" fontId="0" fillId="0" borderId="14" xfId="0" applyNumberFormat="1" applyFill="1" applyBorder="1" applyAlignment="1">
      <alignment/>
    </xf>
    <xf numFmtId="0" fontId="0" fillId="0" borderId="13" xfId="0" applyFill="1" applyBorder="1" applyAlignment="1">
      <alignment/>
    </xf>
    <xf numFmtId="0" fontId="2" fillId="0" borderId="11" xfId="0" applyFont="1" applyFill="1" applyBorder="1" applyAlignment="1">
      <alignment vertical="center"/>
    </xf>
    <xf numFmtId="0" fontId="0" fillId="0" borderId="17" xfId="0" applyFill="1" applyBorder="1" applyAlignment="1">
      <alignment horizontal="left"/>
    </xf>
    <xf numFmtId="2" fontId="2" fillId="0" borderId="14" xfId="0" applyNumberFormat="1" applyFont="1" applyFill="1" applyBorder="1" applyAlignment="1">
      <alignment/>
    </xf>
    <xf numFmtId="2" fontId="0" fillId="0" borderId="16" xfId="0" applyNumberFormat="1" applyFill="1" applyBorder="1" applyAlignment="1">
      <alignment horizontal="left"/>
    </xf>
    <xf numFmtId="0" fontId="0" fillId="0" borderId="12" xfId="0" applyFill="1" applyBorder="1" applyAlignment="1">
      <alignment/>
    </xf>
    <xf numFmtId="0" fontId="2" fillId="0" borderId="18" xfId="0" applyFont="1" applyFill="1" applyBorder="1" applyAlignment="1">
      <alignment wrapText="1"/>
    </xf>
    <xf numFmtId="0" fontId="0" fillId="0" borderId="18" xfId="0" applyBorder="1" applyAlignment="1">
      <alignment/>
    </xf>
    <xf numFmtId="0" fontId="0" fillId="0" borderId="16" xfId="0" applyBorder="1" applyAlignment="1">
      <alignment/>
    </xf>
    <xf numFmtId="0" fontId="65" fillId="0" borderId="0" xfId="0" applyFont="1" applyAlignment="1">
      <alignment/>
    </xf>
    <xf numFmtId="0" fontId="64" fillId="0" borderId="0" xfId="0" applyFont="1" applyFill="1" applyBorder="1" applyAlignment="1">
      <alignment wrapText="1"/>
    </xf>
    <xf numFmtId="0" fontId="66" fillId="0" borderId="0" xfId="0" applyFont="1" applyAlignment="1">
      <alignment/>
    </xf>
    <xf numFmtId="0" fontId="11" fillId="0" borderId="17" xfId="0" applyFont="1" applyFill="1" applyBorder="1" applyAlignment="1">
      <alignment/>
    </xf>
    <xf numFmtId="175" fontId="50" fillId="4" borderId="3" xfId="0" applyNumberFormat="1" applyFont="1" applyFill="1" applyBorder="1" applyAlignment="1" applyProtection="1">
      <alignment vertical="center"/>
      <protection/>
    </xf>
    <xf numFmtId="0" fontId="50" fillId="4" borderId="3" xfId="0" applyFont="1" applyFill="1" applyBorder="1" applyAlignment="1" applyProtection="1">
      <alignment vertical="center"/>
      <protection/>
    </xf>
    <xf numFmtId="0" fontId="0" fillId="0" borderId="0" xfId="0" applyFill="1" applyAlignment="1">
      <alignment wrapText="1"/>
    </xf>
    <xf numFmtId="0" fontId="0" fillId="0" borderId="0" xfId="0" applyFill="1" applyBorder="1" applyAlignment="1">
      <alignment wrapText="1"/>
    </xf>
    <xf numFmtId="4" fontId="0" fillId="4" borderId="20" xfId="0" applyNumberFormat="1" applyFill="1" applyBorder="1" applyAlignment="1">
      <alignment horizontal="center" vertical="center" wrapText="1"/>
    </xf>
    <xf numFmtId="2" fontId="0" fillId="4" borderId="6" xfId="0" applyNumberFormat="1" applyFont="1" applyFill="1" applyBorder="1" applyAlignment="1">
      <alignment horizontal="center" vertical="center" wrapText="1"/>
    </xf>
    <xf numFmtId="4" fontId="0" fillId="4" borderId="6" xfId="0" applyNumberFormat="1" applyFill="1" applyBorder="1" applyAlignment="1">
      <alignment horizontal="center" vertical="center" wrapText="1"/>
    </xf>
    <xf numFmtId="2" fontId="0" fillId="8" borderId="6" xfId="0" applyNumberFormat="1" applyFont="1" applyFill="1" applyBorder="1" applyAlignment="1">
      <alignment horizontal="center" vertical="center" wrapText="1"/>
    </xf>
    <xf numFmtId="0" fontId="0" fillId="6" borderId="6" xfId="0" applyFill="1" applyBorder="1" applyAlignment="1">
      <alignment/>
    </xf>
    <xf numFmtId="4" fontId="2" fillId="9" borderId="26" xfId="0" applyNumberFormat="1" applyFont="1" applyFill="1" applyBorder="1" applyAlignment="1">
      <alignment horizontal="center" vertical="center"/>
    </xf>
    <xf numFmtId="0" fontId="0" fillId="7" borderId="0" xfId="0" applyFill="1" applyBorder="1" applyAlignment="1">
      <alignment horizontal="left" vertical="center" wrapText="1"/>
    </xf>
    <xf numFmtId="2" fontId="0" fillId="7" borderId="0" xfId="0" applyNumberFormat="1" applyFill="1" applyBorder="1" applyAlignment="1" applyProtection="1">
      <alignment horizontal="left" vertical="center" wrapText="1"/>
      <protection/>
    </xf>
    <xf numFmtId="0" fontId="2" fillId="6" borderId="2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5" xfId="0" applyFont="1" applyFill="1" applyBorder="1" applyAlignment="1">
      <alignment horizontal="center" vertical="center"/>
    </xf>
    <xf numFmtId="0" fontId="0" fillId="6" borderId="34" xfId="0" applyFill="1" applyBorder="1" applyAlignment="1">
      <alignment horizontal="center" vertical="center"/>
    </xf>
    <xf numFmtId="0" fontId="43" fillId="7" borderId="21" xfId="0" applyFont="1" applyFill="1" applyBorder="1" applyAlignment="1">
      <alignment vertical="top"/>
    </xf>
    <xf numFmtId="0" fontId="48" fillId="7" borderId="21" xfId="0" applyFont="1" applyFill="1" applyBorder="1" applyAlignment="1">
      <alignment/>
    </xf>
    <xf numFmtId="0" fontId="49" fillId="12" borderId="0" xfId="0" applyFont="1" applyFill="1" applyBorder="1" applyAlignment="1" applyProtection="1">
      <alignment horizontal="center"/>
      <protection/>
    </xf>
    <xf numFmtId="0" fontId="5" fillId="7" borderId="11" xfId="0" applyFont="1" applyFill="1" applyBorder="1" applyAlignment="1">
      <alignment vertical="center"/>
    </xf>
    <xf numFmtId="0" fontId="49" fillId="7" borderId="5" xfId="0" applyFont="1" applyFill="1" applyBorder="1" applyAlignment="1">
      <alignment vertical="center"/>
    </xf>
    <xf numFmtId="4" fontId="50" fillId="7" borderId="5" xfId="0" applyNumberFormat="1" applyFont="1" applyFill="1" applyBorder="1" applyAlignment="1">
      <alignment vertical="center"/>
    </xf>
    <xf numFmtId="0" fontId="50" fillId="7" borderId="5" xfId="0" applyFont="1" applyFill="1" applyBorder="1" applyAlignment="1">
      <alignment vertical="center"/>
    </xf>
    <xf numFmtId="175" fontId="50" fillId="7" borderId="5" xfId="0" applyNumberFormat="1" applyFont="1" applyFill="1" applyBorder="1" applyAlignment="1">
      <alignment vertical="center"/>
    </xf>
    <xf numFmtId="173" fontId="49" fillId="7" borderId="5" xfId="0" applyNumberFormat="1" applyFont="1" applyFill="1" applyBorder="1" applyAlignment="1">
      <alignment vertical="center"/>
    </xf>
    <xf numFmtId="0" fontId="50" fillId="7" borderId="12" xfId="0" applyFont="1" applyFill="1" applyBorder="1" applyAlignment="1">
      <alignment vertical="center"/>
    </xf>
    <xf numFmtId="0" fontId="50" fillId="7" borderId="46" xfId="0" applyFont="1" applyFill="1" applyBorder="1" applyAlignment="1">
      <alignment vertical="center"/>
    </xf>
    <xf numFmtId="0" fontId="50" fillId="7" borderId="47" xfId="0" applyFont="1" applyFill="1" applyBorder="1" applyAlignment="1">
      <alignment vertical="center"/>
    </xf>
    <xf numFmtId="0" fontId="11" fillId="7" borderId="47" xfId="0" applyFont="1" applyFill="1" applyBorder="1" applyAlignment="1">
      <alignment/>
    </xf>
    <xf numFmtId="0" fontId="0" fillId="7" borderId="47" xfId="0" applyFill="1" applyBorder="1" applyAlignment="1">
      <alignment/>
    </xf>
    <xf numFmtId="0" fontId="11" fillId="7" borderId="48" xfId="0" applyFont="1" applyFill="1" applyBorder="1" applyAlignment="1">
      <alignment/>
    </xf>
    <xf numFmtId="0" fontId="52" fillId="7" borderId="0" xfId="0" applyFont="1" applyFill="1" applyBorder="1" applyAlignment="1" applyProtection="1">
      <alignment/>
      <protection/>
    </xf>
    <xf numFmtId="0" fontId="11" fillId="7" borderId="15" xfId="0" applyFont="1" applyFill="1" applyBorder="1" applyAlignment="1" applyProtection="1">
      <alignment/>
      <protection/>
    </xf>
    <xf numFmtId="0" fontId="11" fillId="7" borderId="15" xfId="0" applyFont="1" applyFill="1" applyBorder="1" applyAlignment="1" applyProtection="1">
      <alignment/>
      <protection locked="0"/>
    </xf>
    <xf numFmtId="0" fontId="11" fillId="7" borderId="11" xfId="0" applyFont="1" applyFill="1" applyBorder="1" applyAlignment="1" applyProtection="1">
      <alignment/>
      <protection/>
    </xf>
    <xf numFmtId="0" fontId="11" fillId="7" borderId="12" xfId="0" applyFont="1" applyFill="1" applyBorder="1" applyAlignment="1">
      <alignment/>
    </xf>
    <xf numFmtId="0" fontId="11" fillId="7" borderId="13" xfId="0" applyFont="1" applyFill="1" applyBorder="1" applyAlignment="1" applyProtection="1">
      <alignment/>
      <protection/>
    </xf>
    <xf numFmtId="0" fontId="11" fillId="7" borderId="17" xfId="0" applyFont="1" applyFill="1" applyBorder="1" applyAlignment="1" applyProtection="1">
      <alignment/>
      <protection/>
    </xf>
    <xf numFmtId="0" fontId="63" fillId="7" borderId="32" xfId="0" applyFont="1" applyFill="1" applyBorder="1" applyAlignment="1" applyProtection="1">
      <alignment/>
      <protection/>
    </xf>
    <xf numFmtId="0" fontId="11" fillId="7" borderId="32" xfId="0" applyFont="1" applyFill="1" applyBorder="1" applyAlignment="1" applyProtection="1">
      <alignment/>
      <protection/>
    </xf>
    <xf numFmtId="0" fontId="11" fillId="7" borderId="5" xfId="0" applyFont="1" applyFill="1" applyBorder="1" applyAlignment="1" applyProtection="1">
      <alignment/>
      <protection/>
    </xf>
    <xf numFmtId="0" fontId="11" fillId="7" borderId="5" xfId="0" applyFont="1" applyFill="1" applyBorder="1" applyAlignment="1" applyProtection="1">
      <alignment/>
      <protection/>
    </xf>
    <xf numFmtId="0" fontId="11" fillId="7" borderId="12" xfId="0" applyFont="1" applyFill="1" applyBorder="1" applyAlignment="1" applyProtection="1">
      <alignment/>
      <protection/>
    </xf>
    <xf numFmtId="0" fontId="56" fillId="12" borderId="49" xfId="0" applyFont="1" applyFill="1" applyBorder="1" applyAlignment="1" applyProtection="1">
      <alignment horizontal="center"/>
      <protection/>
    </xf>
    <xf numFmtId="0" fontId="56" fillId="12" borderId="50" xfId="0" applyFont="1" applyFill="1" applyBorder="1" applyAlignment="1" applyProtection="1">
      <alignment horizontal="center"/>
      <protection/>
    </xf>
    <xf numFmtId="0" fontId="49" fillId="12" borderId="15" xfId="0" applyFont="1" applyFill="1" applyBorder="1" applyAlignment="1" applyProtection="1">
      <alignment horizontal="center"/>
      <protection/>
    </xf>
    <xf numFmtId="0" fontId="61" fillId="11" borderId="20" xfId="0" applyFont="1" applyFill="1" applyBorder="1" applyAlignment="1" applyProtection="1">
      <alignment vertical="center"/>
      <protection/>
    </xf>
    <xf numFmtId="0" fontId="61" fillId="11" borderId="6" xfId="0" applyFont="1" applyFill="1" applyBorder="1" applyAlignment="1" applyProtection="1">
      <alignment vertical="center"/>
      <protection/>
    </xf>
    <xf numFmtId="0" fontId="4" fillId="4" borderId="21" xfId="0" applyFont="1" applyFill="1" applyBorder="1" applyAlignment="1" applyProtection="1">
      <alignment vertical="center"/>
      <protection/>
    </xf>
    <xf numFmtId="4" fontId="11" fillId="4" borderId="21" xfId="0" applyNumberFormat="1" applyFont="1" applyFill="1" applyBorder="1" applyAlignment="1">
      <alignment/>
    </xf>
    <xf numFmtId="4" fontId="17" fillId="7" borderId="0" xfId="0" applyNumberFormat="1" applyFont="1" applyFill="1" applyBorder="1" applyAlignment="1">
      <alignment/>
    </xf>
    <xf numFmtId="0" fontId="48" fillId="14" borderId="49" xfId="0" applyFont="1" applyFill="1" applyBorder="1" applyAlignment="1" applyProtection="1">
      <alignment horizontal="center"/>
      <protection locked="0"/>
    </xf>
    <xf numFmtId="0" fontId="48" fillId="14" borderId="0" xfId="0" applyFont="1" applyFill="1" applyBorder="1" applyAlignment="1" applyProtection="1">
      <alignment horizontal="center"/>
      <protection locked="0"/>
    </xf>
    <xf numFmtId="0" fontId="49" fillId="12" borderId="15" xfId="0" applyFont="1" applyFill="1" applyBorder="1" applyAlignment="1">
      <alignment/>
    </xf>
    <xf numFmtId="0" fontId="49" fillId="12" borderId="51" xfId="0" applyFont="1" applyFill="1" applyBorder="1" applyAlignment="1">
      <alignment/>
    </xf>
    <xf numFmtId="0" fontId="49" fillId="12" borderId="52" xfId="0" applyFont="1" applyFill="1" applyBorder="1" applyAlignment="1">
      <alignment/>
    </xf>
    <xf numFmtId="0" fontId="60" fillId="7" borderId="11" xfId="0" applyFont="1" applyFill="1" applyBorder="1" applyAlignment="1">
      <alignment/>
    </xf>
    <xf numFmtId="172" fontId="41" fillId="7" borderId="5" xfId="0" applyNumberFormat="1" applyFont="1" applyFill="1" applyBorder="1" applyAlignment="1" applyProtection="1">
      <alignment/>
      <protection/>
    </xf>
    <xf numFmtId="4" fontId="2" fillId="7" borderId="0" xfId="0" applyNumberFormat="1" applyFont="1" applyFill="1" applyBorder="1" applyAlignment="1">
      <alignment horizontal="center" vertical="center" wrapText="1"/>
    </xf>
    <xf numFmtId="3" fontId="0" fillId="7" borderId="0" xfId="0" applyNumberFormat="1" applyFont="1" applyFill="1" applyBorder="1" applyAlignment="1">
      <alignment horizontal="center" vertical="center" wrapText="1"/>
    </xf>
    <xf numFmtId="2" fontId="4" fillId="7" borderId="0" xfId="0" applyNumberFormat="1" applyFont="1" applyFill="1" applyBorder="1" applyAlignment="1">
      <alignment horizontal="center" vertical="center" wrapText="1"/>
    </xf>
    <xf numFmtId="3" fontId="48" fillId="14" borderId="0" xfId="0" applyNumberFormat="1" applyFont="1" applyFill="1" applyBorder="1" applyAlignment="1" applyProtection="1">
      <alignment/>
      <protection locked="0"/>
    </xf>
    <xf numFmtId="0" fontId="48" fillId="14" borderId="53" xfId="0" applyFont="1" applyFill="1" applyBorder="1" applyAlignment="1" applyProtection="1">
      <alignment/>
      <protection locked="0"/>
    </xf>
    <xf numFmtId="0" fontId="48" fillId="14" borderId="54" xfId="0" applyFont="1" applyFill="1" applyBorder="1" applyAlignment="1" applyProtection="1">
      <alignment/>
      <protection locked="0"/>
    </xf>
    <xf numFmtId="0" fontId="41" fillId="7" borderId="11" xfId="0" applyFont="1" applyFill="1" applyBorder="1" applyAlignment="1">
      <alignment/>
    </xf>
    <xf numFmtId="0" fontId="41" fillId="7" borderId="5" xfId="0" applyFont="1" applyFill="1" applyBorder="1" applyAlignment="1">
      <alignment/>
    </xf>
    <xf numFmtId="4" fontId="41" fillId="7" borderId="5" xfId="0" applyNumberFormat="1" applyFont="1" applyFill="1" applyBorder="1" applyAlignment="1">
      <alignment/>
    </xf>
    <xf numFmtId="173" fontId="41" fillId="7" borderId="5" xfId="0" applyNumberFormat="1" applyFont="1" applyFill="1" applyBorder="1" applyAlignment="1">
      <alignment/>
    </xf>
    <xf numFmtId="0" fontId="60" fillId="7" borderId="13" xfId="0" applyFont="1" applyFill="1" applyBorder="1" applyAlignment="1">
      <alignment/>
    </xf>
    <xf numFmtId="0" fontId="41" fillId="7" borderId="13" xfId="0" applyFont="1" applyFill="1" applyBorder="1" applyAlignment="1">
      <alignment/>
    </xf>
    <xf numFmtId="0" fontId="60" fillId="7" borderId="13" xfId="0" applyFont="1" applyFill="1" applyBorder="1" applyAlignment="1">
      <alignment horizontal="left"/>
    </xf>
    <xf numFmtId="0" fontId="44" fillId="7" borderId="14" xfId="0" applyFont="1" applyFill="1" applyBorder="1" applyAlignment="1">
      <alignment/>
    </xf>
    <xf numFmtId="0" fontId="52" fillId="7" borderId="13" xfId="0" applyFont="1" applyFill="1" applyBorder="1" applyAlignment="1">
      <alignment vertical="top"/>
    </xf>
    <xf numFmtId="0" fontId="47" fillId="7" borderId="13" xfId="0" applyFont="1" applyFill="1" applyBorder="1" applyAlignment="1">
      <alignment horizontal="center"/>
    </xf>
    <xf numFmtId="0" fontId="11" fillId="7" borderId="14" xfId="0" applyFont="1" applyFill="1" applyBorder="1" applyAlignment="1">
      <alignment/>
    </xf>
    <xf numFmtId="0" fontId="11" fillId="7" borderId="55" xfId="0" applyFont="1" applyFill="1" applyBorder="1" applyAlignment="1">
      <alignment/>
    </xf>
    <xf numFmtId="0" fontId="50" fillId="7" borderId="13" xfId="0" applyFont="1" applyFill="1" applyBorder="1" applyAlignment="1">
      <alignment vertical="center"/>
    </xf>
    <xf numFmtId="0" fontId="52" fillId="7" borderId="13" xfId="0" applyFont="1" applyFill="1" applyBorder="1" applyAlignment="1">
      <alignment/>
    </xf>
    <xf numFmtId="0" fontId="48" fillId="7" borderId="0" xfId="0" applyFont="1" applyFill="1" applyBorder="1" applyAlignment="1">
      <alignment horizontal="right"/>
    </xf>
    <xf numFmtId="0" fontId="52" fillId="7" borderId="14" xfId="0" applyFont="1" applyFill="1" applyBorder="1" applyAlignment="1">
      <alignment/>
    </xf>
    <xf numFmtId="0" fontId="48" fillId="7" borderId="13" xfId="0" applyFont="1" applyFill="1" applyBorder="1" applyAlignment="1">
      <alignment/>
    </xf>
    <xf numFmtId="0" fontId="48" fillId="7" borderId="14" xfId="0" applyFont="1" applyFill="1" applyBorder="1" applyAlignment="1">
      <alignment/>
    </xf>
    <xf numFmtId="0" fontId="52" fillId="7" borderId="26" xfId="0" applyFont="1" applyFill="1" applyBorder="1" applyAlignment="1" applyProtection="1">
      <alignment/>
      <protection/>
    </xf>
    <xf numFmtId="3" fontId="49" fillId="12" borderId="0" xfId="0" applyNumberFormat="1" applyFont="1" applyFill="1" applyBorder="1" applyAlignment="1" applyProtection="1">
      <alignment/>
      <protection/>
    </xf>
    <xf numFmtId="0" fontId="49" fillId="12" borderId="0" xfId="0" applyFont="1" applyFill="1" applyBorder="1" applyAlignment="1" applyProtection="1">
      <alignment/>
      <protection/>
    </xf>
    <xf numFmtId="0" fontId="49" fillId="12" borderId="49" xfId="0" applyFont="1" applyFill="1" applyBorder="1" applyAlignment="1" applyProtection="1">
      <alignment horizontal="right"/>
      <protection/>
    </xf>
    <xf numFmtId="3" fontId="50" fillId="12" borderId="0" xfId="0" applyNumberFormat="1" applyFont="1" applyFill="1" applyBorder="1" applyAlignment="1" applyProtection="1">
      <alignment/>
      <protection/>
    </xf>
    <xf numFmtId="0" fontId="41" fillId="7" borderId="5" xfId="0" applyFont="1" applyFill="1" applyBorder="1" applyAlignment="1" applyProtection="1">
      <alignment/>
      <protection/>
    </xf>
    <xf numFmtId="0" fontId="60" fillId="7" borderId="13" xfId="0" applyFont="1" applyFill="1" applyBorder="1" applyAlignment="1" applyProtection="1">
      <alignment horizontal="left"/>
      <protection/>
    </xf>
    <xf numFmtId="0" fontId="52" fillId="7" borderId="13" xfId="0" applyFont="1" applyFill="1" applyBorder="1" applyAlignment="1" applyProtection="1">
      <alignment vertical="top"/>
      <protection/>
    </xf>
    <xf numFmtId="0" fontId="47" fillId="7" borderId="13" xfId="0" applyFont="1" applyFill="1" applyBorder="1" applyAlignment="1" applyProtection="1">
      <alignment horizontal="center"/>
      <protection/>
    </xf>
    <xf numFmtId="0" fontId="50" fillId="7" borderId="13" xfId="0" applyFont="1" applyFill="1" applyBorder="1" applyAlignment="1" applyProtection="1">
      <alignment vertical="center"/>
      <protection/>
    </xf>
    <xf numFmtId="0" fontId="52" fillId="7" borderId="13" xfId="0" applyFont="1" applyFill="1" applyBorder="1" applyAlignment="1" applyProtection="1">
      <alignment/>
      <protection/>
    </xf>
    <xf numFmtId="0" fontId="48" fillId="7" borderId="13" xfId="0" applyFont="1" applyFill="1" applyBorder="1" applyAlignment="1" applyProtection="1">
      <alignment/>
      <protection/>
    </xf>
    <xf numFmtId="0" fontId="48" fillId="7" borderId="55" xfId="0" applyFont="1" applyFill="1" applyBorder="1" applyAlignment="1" applyProtection="1">
      <alignment/>
      <protection/>
    </xf>
    <xf numFmtId="0" fontId="55" fillId="7" borderId="0" xfId="0" applyFont="1" applyFill="1" applyBorder="1" applyAlignment="1" applyProtection="1">
      <alignment/>
      <protection/>
    </xf>
    <xf numFmtId="0" fontId="11" fillId="7" borderId="16" xfId="0" applyFont="1" applyFill="1" applyBorder="1" applyAlignment="1" applyProtection="1">
      <alignment/>
      <protection/>
    </xf>
    <xf numFmtId="0" fontId="0" fillId="7" borderId="13" xfId="0" applyFill="1" applyBorder="1" applyAlignment="1">
      <alignment horizontal="left"/>
    </xf>
    <xf numFmtId="0" fontId="66" fillId="7" borderId="5" xfId="0" applyFont="1" applyFill="1" applyBorder="1" applyAlignment="1">
      <alignment vertical="center"/>
    </xf>
    <xf numFmtId="0" fontId="66" fillId="7" borderId="12" xfId="0" applyFont="1" applyFill="1" applyBorder="1" applyAlignment="1">
      <alignment vertical="center"/>
    </xf>
    <xf numFmtId="0" fontId="64" fillId="7" borderId="13" xfId="0" applyFont="1" applyFill="1" applyBorder="1" applyAlignment="1">
      <alignment vertical="center" wrapText="1"/>
    </xf>
    <xf numFmtId="0" fontId="66" fillId="7" borderId="0" xfId="0" applyFont="1" applyFill="1" applyBorder="1" applyAlignment="1">
      <alignment vertical="center"/>
    </xf>
    <xf numFmtId="0" fontId="66" fillId="7" borderId="14" xfId="0" applyFont="1" applyFill="1" applyBorder="1" applyAlignment="1">
      <alignment vertical="center"/>
    </xf>
    <xf numFmtId="0" fontId="66" fillId="7" borderId="18" xfId="0" applyFont="1" applyFill="1" applyBorder="1" applyAlignment="1">
      <alignment vertical="center"/>
    </xf>
    <xf numFmtId="0" fontId="66" fillId="7" borderId="16" xfId="0" applyFont="1" applyFill="1" applyBorder="1" applyAlignment="1">
      <alignment vertical="center"/>
    </xf>
    <xf numFmtId="0" fontId="0" fillId="7" borderId="21" xfId="0" applyFill="1" applyBorder="1" applyAlignment="1">
      <alignment/>
    </xf>
    <xf numFmtId="4" fontId="0" fillId="5" borderId="6" xfId="0" applyNumberFormat="1" applyFill="1" applyBorder="1" applyAlignment="1">
      <alignment wrapText="1"/>
    </xf>
    <xf numFmtId="4" fontId="0" fillId="5" borderId="6" xfId="0" applyNumberFormat="1" applyFont="1" applyFill="1" applyBorder="1" applyAlignment="1">
      <alignment wrapText="1"/>
    </xf>
    <xf numFmtId="3" fontId="0" fillId="7" borderId="6" xfId="0" applyNumberFormat="1" applyFont="1" applyFill="1" applyBorder="1" applyAlignment="1">
      <alignment horizontal="center" vertical="center" wrapText="1"/>
    </xf>
    <xf numFmtId="3" fontId="0" fillId="7" borderId="20" xfId="0" applyNumberFormat="1" applyFont="1" applyFill="1" applyBorder="1" applyAlignment="1">
      <alignment horizontal="center" vertical="center" wrapText="1"/>
    </xf>
    <xf numFmtId="4" fontId="0" fillId="9" borderId="6" xfId="0" applyNumberFormat="1" applyFill="1" applyBorder="1" applyAlignment="1">
      <alignment horizontal="center" vertical="center" wrapText="1"/>
    </xf>
    <xf numFmtId="4" fontId="0" fillId="7" borderId="6" xfId="0" applyNumberFormat="1" applyFont="1" applyFill="1" applyBorder="1" applyAlignment="1">
      <alignment horizontal="center" vertical="center" wrapText="1"/>
    </xf>
    <xf numFmtId="4" fontId="0" fillId="8" borderId="6" xfId="0" applyNumberFormat="1" applyFill="1" applyBorder="1" applyAlignment="1">
      <alignment/>
    </xf>
    <xf numFmtId="3" fontId="0" fillId="9" borderId="6" xfId="0" applyNumberFormat="1" applyFill="1" applyBorder="1" applyAlignment="1">
      <alignment/>
    </xf>
    <xf numFmtId="2" fontId="0" fillId="0" borderId="0" xfId="0" applyNumberFormat="1" applyFill="1" applyBorder="1" applyAlignment="1">
      <alignment horizontal="left" vertical="center"/>
    </xf>
    <xf numFmtId="4" fontId="0" fillId="0" borderId="0" xfId="0" applyNumberFormat="1" applyFill="1" applyAlignment="1">
      <alignment/>
    </xf>
    <xf numFmtId="2" fontId="0" fillId="5" borderId="10" xfId="0" applyNumberFormat="1" applyFill="1" applyBorder="1" applyAlignment="1">
      <alignment horizontal="center" vertical="center"/>
    </xf>
    <xf numFmtId="0" fontId="0" fillId="0" borderId="13" xfId="0" applyBorder="1" applyAlignment="1">
      <alignment/>
    </xf>
    <xf numFmtId="2" fontId="0" fillId="9" borderId="10" xfId="0" applyNumberFormat="1" applyFill="1" applyBorder="1" applyAlignment="1">
      <alignment horizontal="center" vertical="center" wrapText="1"/>
    </xf>
    <xf numFmtId="2" fontId="6" fillId="7" borderId="5" xfId="0" applyNumberFormat="1" applyFont="1" applyFill="1" applyBorder="1" applyAlignment="1">
      <alignment horizontal="center" vertical="center" wrapText="1"/>
    </xf>
    <xf numFmtId="1" fontId="0" fillId="7" borderId="6" xfId="0" applyNumberFormat="1" applyFont="1" applyFill="1" applyBorder="1" applyAlignment="1">
      <alignment horizontal="center" vertical="center" wrapText="1"/>
    </xf>
    <xf numFmtId="0" fontId="48" fillId="9" borderId="8" xfId="0" applyFont="1" applyFill="1" applyBorder="1" applyAlignment="1" applyProtection="1">
      <alignment/>
      <protection locked="0"/>
    </xf>
    <xf numFmtId="0" fontId="48" fillId="9" borderId="6" xfId="0" applyFont="1" applyFill="1" applyBorder="1" applyAlignment="1" applyProtection="1">
      <alignment/>
      <protection locked="0"/>
    </xf>
    <xf numFmtId="0" fontId="48" fillId="9" borderId="7" xfId="0" applyFont="1" applyFill="1" applyBorder="1" applyAlignment="1" applyProtection="1">
      <alignment/>
      <protection locked="0"/>
    </xf>
    <xf numFmtId="0" fontId="48" fillId="9" borderId="35" xfId="0" applyFont="1" applyFill="1" applyBorder="1" applyAlignment="1" applyProtection="1">
      <alignment/>
      <protection locked="0"/>
    </xf>
    <xf numFmtId="0" fontId="48" fillId="9" borderId="39" xfId="0" applyFont="1" applyFill="1" applyBorder="1" applyAlignment="1" applyProtection="1">
      <alignment/>
      <protection locked="0"/>
    </xf>
    <xf numFmtId="0" fontId="53" fillId="9" borderId="6" xfId="0" applyFont="1" applyFill="1" applyBorder="1" applyAlignment="1" applyProtection="1">
      <alignment/>
      <protection locked="0"/>
    </xf>
    <xf numFmtId="0" fontId="53" fillId="9" borderId="7" xfId="0" applyFont="1" applyFill="1" applyBorder="1" applyAlignment="1" applyProtection="1">
      <alignment/>
      <protection locked="0"/>
    </xf>
    <xf numFmtId="0" fontId="53" fillId="9" borderId="8" xfId="0" applyFont="1" applyFill="1" applyBorder="1" applyAlignment="1" applyProtection="1">
      <alignment/>
      <protection locked="0"/>
    </xf>
    <xf numFmtId="0" fontId="53" fillId="9" borderId="20" xfId="0" applyFont="1" applyFill="1" applyBorder="1" applyAlignment="1" applyProtection="1">
      <alignment/>
      <protection locked="0"/>
    </xf>
    <xf numFmtId="175" fontId="48" fillId="14" borderId="7" xfId="0" applyNumberFormat="1" applyFont="1" applyFill="1" applyBorder="1" applyAlignment="1" applyProtection="1">
      <alignment/>
      <protection/>
    </xf>
    <xf numFmtId="172" fontId="11" fillId="14" borderId="31" xfId="0" applyNumberFormat="1" applyFont="1" applyFill="1" applyBorder="1" applyAlignment="1">
      <alignment/>
    </xf>
    <xf numFmtId="172" fontId="11" fillId="14" borderId="9" xfId="0" applyNumberFormat="1" applyFont="1" applyFill="1" applyBorder="1" applyAlignment="1">
      <alignment/>
    </xf>
    <xf numFmtId="172" fontId="11" fillId="14" borderId="6" xfId="0" applyNumberFormat="1" applyFont="1" applyFill="1" applyBorder="1" applyAlignment="1">
      <alignment/>
    </xf>
    <xf numFmtId="0" fontId="11" fillId="14" borderId="6" xfId="0" applyFont="1" applyFill="1" applyBorder="1" applyAlignment="1">
      <alignment/>
    </xf>
    <xf numFmtId="3" fontId="11" fillId="9" borderId="6" xfId="0" applyNumberFormat="1" applyFont="1" applyFill="1" applyBorder="1" applyAlignment="1" applyProtection="1">
      <alignment horizontal="center"/>
      <protection locked="0"/>
    </xf>
    <xf numFmtId="4" fontId="0" fillId="9" borderId="10" xfId="0" applyNumberFormat="1" applyFill="1" applyBorder="1" applyAlignment="1">
      <alignment horizontal="center" vertical="center" wrapText="1"/>
    </xf>
    <xf numFmtId="4" fontId="0" fillId="9" borderId="15" xfId="0" applyNumberFormat="1" applyFill="1" applyBorder="1" applyAlignment="1">
      <alignment horizontal="center" vertical="center" wrapText="1"/>
    </xf>
    <xf numFmtId="0" fontId="0" fillId="9" borderId="6" xfId="0" applyFill="1" applyBorder="1" applyAlignment="1">
      <alignment horizontal="center" vertical="center"/>
    </xf>
    <xf numFmtId="4" fontId="0" fillId="10" borderId="20" xfId="0" applyNumberFormat="1" applyFill="1" applyBorder="1" applyAlignment="1">
      <alignment horizontal="center" vertical="center" wrapText="1"/>
    </xf>
    <xf numFmtId="4" fontId="0" fillId="10" borderId="6" xfId="0" applyNumberFormat="1" applyFill="1" applyBorder="1" applyAlignment="1">
      <alignment horizontal="center" vertical="center" wrapText="1"/>
    </xf>
    <xf numFmtId="0" fontId="2" fillId="0" borderId="13" xfId="0" applyFont="1" applyFill="1" applyBorder="1" applyAlignment="1">
      <alignment vertical="center"/>
    </xf>
    <xf numFmtId="2" fontId="0" fillId="9" borderId="42" xfId="0" applyNumberFormat="1" applyFill="1" applyBorder="1" applyAlignment="1">
      <alignment horizontal="center" vertical="center" wrapText="1"/>
    </xf>
    <xf numFmtId="4" fontId="0" fillId="9" borderId="6" xfId="0" applyNumberFormat="1" applyFont="1" applyFill="1" applyBorder="1" applyAlignment="1">
      <alignment horizontal="center" vertical="center"/>
    </xf>
    <xf numFmtId="0" fontId="13" fillId="0" borderId="0" xfId="0" applyFont="1" applyAlignment="1">
      <alignment horizontal="right"/>
    </xf>
    <xf numFmtId="0" fontId="0" fillId="0" borderId="0" xfId="0" applyFont="1" applyAlignment="1">
      <alignment/>
    </xf>
    <xf numFmtId="4" fontId="2" fillId="8" borderId="8" xfId="0" applyNumberFormat="1" applyFont="1" applyFill="1" applyBorder="1" applyAlignment="1">
      <alignment horizontal="center" vertical="center"/>
    </xf>
    <xf numFmtId="49" fontId="6" fillId="7" borderId="0" xfId="0" applyNumberFormat="1" applyFont="1" applyFill="1" applyBorder="1" applyAlignment="1">
      <alignment horizontal="right" vertical="top"/>
    </xf>
    <xf numFmtId="2" fontId="0" fillId="7" borderId="6" xfId="0" applyNumberFormat="1" applyFill="1" applyBorder="1" applyAlignment="1">
      <alignment horizontal="center"/>
    </xf>
    <xf numFmtId="0" fontId="0" fillId="0" borderId="6" xfId="0" applyBorder="1" applyAlignment="1">
      <alignment horizontal="center"/>
    </xf>
    <xf numFmtId="0" fontId="2" fillId="0" borderId="56" xfId="0" applyFont="1" applyBorder="1" applyAlignment="1">
      <alignment/>
    </xf>
    <xf numFmtId="0" fontId="0" fillId="0" borderId="57" xfId="0" applyFill="1" applyBorder="1" applyAlignment="1">
      <alignment/>
    </xf>
    <xf numFmtId="0" fontId="2" fillId="0" borderId="58" xfId="0" applyFont="1" applyFill="1" applyBorder="1" applyAlignment="1">
      <alignment/>
    </xf>
    <xf numFmtId="0" fontId="0" fillId="0" borderId="58" xfId="0" applyFill="1" applyBorder="1" applyAlignment="1">
      <alignment/>
    </xf>
    <xf numFmtId="0" fontId="0" fillId="0" borderId="31" xfId="0" applyFill="1" applyBorder="1" applyAlignment="1">
      <alignment horizontal="center"/>
    </xf>
    <xf numFmtId="0" fontId="0" fillId="0" borderId="59" xfId="0" applyFill="1" applyBorder="1" applyAlignment="1">
      <alignment horizontal="center"/>
    </xf>
    <xf numFmtId="0" fontId="0" fillId="0" borderId="58" xfId="0" applyFill="1" applyBorder="1" applyAlignment="1">
      <alignment horizontal="center"/>
    </xf>
    <xf numFmtId="0" fontId="0" fillId="0" borderId="60" xfId="0" applyFill="1" applyBorder="1" applyAlignment="1">
      <alignment horizontal="center"/>
    </xf>
    <xf numFmtId="0" fontId="0" fillId="0" borderId="3" xfId="0" applyFill="1" applyBorder="1" applyAlignment="1">
      <alignment horizontal="center"/>
    </xf>
    <xf numFmtId="0" fontId="2" fillId="0" borderId="61" xfId="0" applyFont="1" applyFill="1" applyBorder="1" applyAlignment="1">
      <alignment horizontal="center" wrapText="1"/>
    </xf>
    <xf numFmtId="0" fontId="2" fillId="0" borderId="61" xfId="0" applyFont="1" applyFill="1" applyBorder="1" applyAlignment="1">
      <alignment horizontal="center"/>
    </xf>
    <xf numFmtId="0" fontId="0" fillId="0" borderId="62" xfId="0" applyFill="1" applyBorder="1" applyAlignment="1">
      <alignment horizontal="center"/>
    </xf>
    <xf numFmtId="0" fontId="2" fillId="0" borderId="61" xfId="0" applyFont="1" applyFill="1" applyBorder="1" applyAlignment="1">
      <alignment horizontal="center" vertical="center" wrapText="1"/>
    </xf>
    <xf numFmtId="0" fontId="2" fillId="0" borderId="61" xfId="0" applyFont="1" applyFill="1" applyBorder="1" applyAlignment="1">
      <alignment horizontal="center" vertical="center"/>
    </xf>
    <xf numFmtId="0" fontId="12" fillId="7" borderId="0" xfId="0" applyFont="1" applyFill="1" applyAlignment="1">
      <alignment/>
    </xf>
    <xf numFmtId="0" fontId="2" fillId="7" borderId="0" xfId="0" applyFont="1" applyFill="1" applyAlignment="1">
      <alignment/>
    </xf>
    <xf numFmtId="0" fontId="0" fillId="7" borderId="14" xfId="0" applyFont="1" applyFill="1" applyBorder="1" applyAlignment="1">
      <alignment vertical="center" wrapText="1"/>
    </xf>
    <xf numFmtId="0" fontId="11" fillId="6" borderId="8" xfId="0" applyFont="1" applyFill="1" applyBorder="1" applyAlignment="1">
      <alignment horizontal="center"/>
    </xf>
    <xf numFmtId="0" fontId="0" fillId="6" borderId="6" xfId="0" applyFill="1" applyBorder="1" applyAlignment="1">
      <alignment horizontal="center" vertical="center" wrapText="1"/>
    </xf>
    <xf numFmtId="0" fontId="1" fillId="7" borderId="0" xfId="0" applyFont="1" applyFill="1" applyBorder="1" applyAlignment="1">
      <alignment vertical="top" wrapText="1"/>
    </xf>
    <xf numFmtId="0" fontId="0" fillId="8" borderId="25" xfId="0" applyFont="1" applyFill="1" applyBorder="1" applyAlignment="1">
      <alignment wrapText="1"/>
    </xf>
    <xf numFmtId="2" fontId="0" fillId="5" borderId="6" xfId="0" applyNumberFormat="1" applyFill="1" applyBorder="1" applyAlignment="1">
      <alignment horizontal="center"/>
    </xf>
    <xf numFmtId="2" fontId="0" fillId="7" borderId="0" xfId="0" applyNumberFormat="1" applyFont="1" applyFill="1" applyBorder="1" applyAlignment="1">
      <alignment/>
    </xf>
    <xf numFmtId="4" fontId="0" fillId="7" borderId="6" xfId="0" applyNumberFormat="1" applyFont="1" applyFill="1" applyBorder="1" applyAlignment="1">
      <alignment horizontal="center" vertical="center"/>
    </xf>
    <xf numFmtId="174" fontId="0" fillId="7" borderId="6" xfId="0" applyNumberFormat="1" applyFill="1" applyBorder="1" applyAlignment="1">
      <alignment horizontal="center" vertical="center" wrapText="1"/>
    </xf>
    <xf numFmtId="2" fontId="5" fillId="15" borderId="0" xfId="0" applyNumberFormat="1" applyFont="1" applyFill="1" applyBorder="1" applyAlignment="1">
      <alignment horizontal="center" vertical="center"/>
    </xf>
    <xf numFmtId="4" fontId="4" fillId="15" borderId="6" xfId="0" applyNumberFormat="1" applyFont="1" applyFill="1" applyBorder="1" applyAlignment="1">
      <alignment horizontal="center" vertical="center"/>
    </xf>
    <xf numFmtId="2" fontId="4" fillId="15" borderId="6" xfId="0" applyNumberFormat="1" applyFont="1" applyFill="1" applyBorder="1" applyAlignment="1">
      <alignment horizontal="center" vertical="center" wrapText="1"/>
    </xf>
    <xf numFmtId="175" fontId="4" fillId="15" borderId="6" xfId="0" applyNumberFormat="1" applyFont="1" applyFill="1" applyBorder="1" applyAlignment="1">
      <alignment horizontal="center" vertical="center" wrapText="1"/>
    </xf>
    <xf numFmtId="175" fontId="0" fillId="9" borderId="6" xfId="0" applyNumberFormat="1" applyFill="1" applyBorder="1" applyAlignment="1" applyProtection="1">
      <alignment horizontal="center" vertical="center"/>
      <protection locked="0"/>
    </xf>
    <xf numFmtId="0" fontId="1" fillId="7" borderId="0" xfId="0" applyFont="1" applyFill="1" applyBorder="1" applyAlignment="1" applyProtection="1">
      <alignment/>
      <protection locked="0"/>
    </xf>
    <xf numFmtId="2" fontId="1" fillId="7" borderId="0" xfId="0" applyNumberFormat="1" applyFont="1" applyFill="1" applyBorder="1" applyAlignment="1" applyProtection="1">
      <alignment/>
      <protection locked="0"/>
    </xf>
    <xf numFmtId="4" fontId="6" fillId="7" borderId="0" xfId="0" applyNumberFormat="1" applyFont="1" applyFill="1" applyBorder="1" applyAlignment="1" applyProtection="1">
      <alignment/>
      <protection locked="0"/>
    </xf>
    <xf numFmtId="3" fontId="2" fillId="9" borderId="6" xfId="0" applyNumberFormat="1" applyFont="1" applyFill="1" applyBorder="1" applyAlignment="1" applyProtection="1">
      <alignment horizontal="center" vertical="center"/>
      <protection locked="0"/>
    </xf>
    <xf numFmtId="0" fontId="2" fillId="0" borderId="0" xfId="0" applyFont="1" applyFill="1" applyAlignment="1">
      <alignment/>
    </xf>
    <xf numFmtId="0" fontId="0" fillId="0" borderId="0" xfId="0" applyAlignment="1">
      <alignment vertical="top"/>
    </xf>
    <xf numFmtId="0" fontId="5" fillId="1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xf>
    <xf numFmtId="4" fontId="74" fillId="0" borderId="6" xfId="0" applyNumberFormat="1" applyFont="1" applyFill="1" applyBorder="1" applyAlignment="1">
      <alignment horizontal="center" vertical="center" wrapText="1"/>
    </xf>
    <xf numFmtId="173" fontId="0" fillId="8" borderId="6" xfId="0" applyNumberFormat="1" applyFill="1" applyBorder="1" applyAlignment="1">
      <alignment horizontal="center"/>
    </xf>
    <xf numFmtId="0" fontId="17" fillId="0" borderId="12" xfId="0" applyFont="1" applyFill="1" applyBorder="1" applyAlignment="1">
      <alignment horizontal="center"/>
    </xf>
    <xf numFmtId="2" fontId="0" fillId="5" borderId="30" xfId="0" applyNumberFormat="1" applyFill="1" applyBorder="1" applyAlignment="1">
      <alignment/>
    </xf>
    <xf numFmtId="2" fontId="2" fillId="9" borderId="30" xfId="0" applyNumberFormat="1" applyFont="1" applyFill="1" applyBorder="1" applyAlignment="1">
      <alignment/>
    </xf>
    <xf numFmtId="2" fontId="0" fillId="10" borderId="30" xfId="0" applyNumberFormat="1" applyFill="1" applyBorder="1" applyAlignment="1">
      <alignment/>
    </xf>
    <xf numFmtId="2" fontId="3" fillId="8" borderId="30" xfId="0" applyNumberFormat="1" applyFont="1" applyFill="1" applyBorder="1" applyAlignment="1">
      <alignment/>
    </xf>
    <xf numFmtId="0" fontId="0" fillId="0" borderId="16" xfId="0" applyFill="1" applyBorder="1" applyAlignment="1">
      <alignment horizontal="left"/>
    </xf>
    <xf numFmtId="0" fontId="0" fillId="7" borderId="43" xfId="0" applyFill="1" applyBorder="1" applyAlignment="1">
      <alignment/>
    </xf>
    <xf numFmtId="0" fontId="0" fillId="5" borderId="6" xfId="0" applyFill="1" applyBorder="1" applyAlignment="1" applyProtection="1">
      <alignment horizontal="center" vertical="center"/>
      <protection/>
    </xf>
    <xf numFmtId="39" fontId="0" fillId="9" borderId="6" xfId="38" applyNumberFormat="1" applyFill="1" applyBorder="1" applyAlignment="1" applyProtection="1">
      <alignment horizontal="center" vertical="center"/>
      <protection/>
    </xf>
    <xf numFmtId="0" fontId="0" fillId="0" borderId="0" xfId="0" applyBorder="1" applyAlignment="1">
      <alignment horizontal="center" vertical="center"/>
    </xf>
    <xf numFmtId="0" fontId="2" fillId="0" borderId="0" xfId="0" applyFont="1" applyBorder="1" applyAlignment="1">
      <alignment horizontal="center"/>
    </xf>
    <xf numFmtId="2" fontId="0" fillId="0" borderId="0" xfId="0" applyNumberFormat="1" applyFont="1" applyFill="1" applyBorder="1" applyAlignment="1">
      <alignment horizontal="center" vertical="center"/>
    </xf>
    <xf numFmtId="0" fontId="2" fillId="0" borderId="63" xfId="0" applyFont="1" applyBorder="1" applyAlignment="1">
      <alignment horizontal="center"/>
    </xf>
    <xf numFmtId="0" fontId="2" fillId="7" borderId="14" xfId="0" applyFont="1" applyFill="1" applyBorder="1" applyAlignment="1">
      <alignment horizontal="center"/>
    </xf>
    <xf numFmtId="3" fontId="0" fillId="7" borderId="14" xfId="0" applyNumberFormat="1" applyFill="1" applyBorder="1" applyAlignment="1">
      <alignment horizontal="center"/>
    </xf>
    <xf numFmtId="4" fontId="0" fillId="9" borderId="6" xfId="0" applyNumberFormat="1" applyFill="1" applyBorder="1" applyAlignment="1">
      <alignment horizontal="center"/>
    </xf>
    <xf numFmtId="0" fontId="6" fillId="7" borderId="16" xfId="0" applyFont="1" applyFill="1" applyBorder="1" applyAlignment="1">
      <alignment/>
    </xf>
    <xf numFmtId="175" fontId="0" fillId="7" borderId="5" xfId="0" applyNumberFormat="1" applyFill="1" applyBorder="1" applyAlignment="1">
      <alignment/>
    </xf>
    <xf numFmtId="175" fontId="0" fillId="0" borderId="0" xfId="0" applyNumberFormat="1" applyAlignment="1">
      <alignment/>
    </xf>
    <xf numFmtId="0" fontId="6" fillId="8" borderId="6" xfId="0" applyFont="1" applyFill="1" applyBorder="1" applyAlignment="1">
      <alignment horizontal="center" vertical="center"/>
    </xf>
    <xf numFmtId="0" fontId="8" fillId="0" borderId="0" xfId="36" applyAlignment="1">
      <alignment/>
    </xf>
    <xf numFmtId="0" fontId="0" fillId="0" borderId="0" xfId="0" applyFont="1" applyAlignment="1">
      <alignment horizontal="center" vertical="center" wrapText="1"/>
    </xf>
    <xf numFmtId="0" fontId="5" fillId="4" borderId="9" xfId="0" applyNumberFormat="1" applyFont="1" applyFill="1" applyBorder="1" applyAlignment="1">
      <alignment horizontal="left" vertical="center"/>
    </xf>
    <xf numFmtId="0" fontId="4" fillId="4" borderId="31" xfId="0" applyFont="1" applyFill="1" applyBorder="1" applyAlignment="1">
      <alignment horizontal="left"/>
    </xf>
    <xf numFmtId="4" fontId="0" fillId="8" borderId="6" xfId="0" applyNumberFormat="1" applyFont="1" applyFill="1" applyBorder="1" applyAlignment="1" applyProtection="1">
      <alignment horizontal="center" vertical="center" wrapText="1"/>
      <protection/>
    </xf>
    <xf numFmtId="4" fontId="2" fillId="8" borderId="6" xfId="0" applyNumberFormat="1" applyFont="1" applyFill="1" applyBorder="1" applyAlignment="1" applyProtection="1">
      <alignment horizontal="center" vertical="center"/>
      <protection/>
    </xf>
    <xf numFmtId="0" fontId="0" fillId="8" borderId="6" xfId="0" applyFont="1" applyFill="1" applyBorder="1" applyAlignment="1">
      <alignment horizontal="justify" vertical="top" wrapText="1"/>
    </xf>
    <xf numFmtId="0" fontId="0" fillId="0" borderId="6" xfId="0" applyFont="1" applyBorder="1" applyAlignment="1">
      <alignment horizontal="justify" vertical="top" wrapText="1"/>
    </xf>
    <xf numFmtId="0" fontId="0" fillId="0" borderId="6" xfId="0" applyFont="1" applyBorder="1" applyAlignment="1">
      <alignment horizontal="center" wrapText="1"/>
    </xf>
    <xf numFmtId="0" fontId="0" fillId="0" borderId="0" xfId="0" applyFill="1" applyAlignment="1">
      <alignment horizontal="center" vertical="center" wrapText="1"/>
    </xf>
    <xf numFmtId="0" fontId="0" fillId="0" borderId="6" xfId="0" applyFill="1" applyBorder="1" applyAlignment="1">
      <alignment horizontal="center" vertical="center"/>
    </xf>
    <xf numFmtId="175" fontId="0" fillId="6" borderId="6" xfId="0" applyNumberFormat="1" applyFill="1" applyBorder="1" applyAlignment="1">
      <alignment horizontal="center" vertical="center"/>
    </xf>
    <xf numFmtId="175" fontId="0" fillId="6" borderId="0" xfId="0" applyNumberFormat="1" applyFill="1" applyBorder="1" applyAlignment="1">
      <alignment horizontal="center" vertical="center"/>
    </xf>
    <xf numFmtId="175" fontId="0" fillId="6" borderId="7" xfId="0" applyNumberFormat="1" applyFill="1" applyBorder="1" applyAlignment="1">
      <alignment horizontal="center" vertical="center"/>
    </xf>
    <xf numFmtId="178" fontId="0" fillId="6" borderId="21" xfId="0" applyNumberFormat="1" applyFont="1" applyFill="1" applyBorder="1" applyAlignment="1">
      <alignment horizontal="center" vertical="top"/>
    </xf>
    <xf numFmtId="0" fontId="0" fillId="14" borderId="6" xfId="0" applyFill="1" applyBorder="1" applyAlignment="1">
      <alignment horizontal="center"/>
    </xf>
    <xf numFmtId="175" fontId="54" fillId="14" borderId="6" xfId="0" applyNumberFormat="1" applyFont="1" applyFill="1" applyBorder="1" applyAlignment="1">
      <alignment horizontal="center"/>
    </xf>
    <xf numFmtId="174" fontId="0" fillId="14" borderId="6" xfId="0" applyNumberFormat="1" applyFill="1" applyBorder="1" applyAlignment="1">
      <alignment horizontal="center"/>
    </xf>
    <xf numFmtId="0" fontId="54" fillId="14" borderId="6" xfId="0" applyFont="1" applyFill="1" applyBorder="1" applyAlignment="1">
      <alignment horizontal="center"/>
    </xf>
    <xf numFmtId="0" fontId="50" fillId="4" borderId="64" xfId="0" applyFont="1" applyFill="1" applyBorder="1" applyAlignment="1">
      <alignment vertical="center"/>
    </xf>
    <xf numFmtId="0" fontId="47" fillId="6" borderId="6" xfId="0" applyFont="1" applyFill="1" applyBorder="1" applyAlignment="1">
      <alignment horizontal="center"/>
    </xf>
    <xf numFmtId="4" fontId="47" fillId="6" borderId="6" xfId="0" applyNumberFormat="1" applyFont="1" applyFill="1" applyBorder="1" applyAlignment="1">
      <alignment horizontal="center"/>
    </xf>
    <xf numFmtId="173" fontId="47" fillId="6" borderId="6" xfId="0" applyNumberFormat="1" applyFont="1" applyFill="1" applyBorder="1" applyAlignment="1">
      <alignment horizontal="center"/>
    </xf>
    <xf numFmtId="173" fontId="48" fillId="8" borderId="6" xfId="0" applyNumberFormat="1" applyFont="1" applyFill="1" applyBorder="1" applyAlignment="1">
      <alignment horizontal="center"/>
    </xf>
    <xf numFmtId="0" fontId="0" fillId="0" borderId="6" xfId="0" applyBorder="1" applyAlignment="1">
      <alignment horizontal="center" vertical="center" wrapText="1"/>
    </xf>
    <xf numFmtId="0" fontId="78" fillId="0" borderId="0" xfId="0" applyFont="1" applyBorder="1" applyAlignment="1">
      <alignment horizontal="center" vertical="center"/>
    </xf>
    <xf numFmtId="0" fontId="78" fillId="7" borderId="13" xfId="0" applyFont="1" applyFill="1" applyBorder="1" applyAlignment="1">
      <alignment wrapText="1"/>
    </xf>
    <xf numFmtId="0" fontId="78" fillId="7" borderId="13" xfId="0" applyFont="1" applyFill="1" applyBorder="1" applyAlignment="1">
      <alignment horizontal="center" vertical="center"/>
    </xf>
    <xf numFmtId="0" fontId="78" fillId="7" borderId="13" xfId="0" applyFont="1" applyFill="1" applyBorder="1" applyAlignment="1">
      <alignment/>
    </xf>
    <xf numFmtId="0" fontId="0" fillId="8" borderId="6" xfId="0" applyFont="1" applyFill="1" applyBorder="1" applyAlignment="1">
      <alignment horizontal="center" vertical="center" wrapText="1"/>
    </xf>
    <xf numFmtId="174" fontId="0" fillId="6" borderId="6" xfId="0" applyNumberFormat="1" applyFill="1" applyBorder="1" applyAlignment="1">
      <alignment horizontal="center"/>
    </xf>
    <xf numFmtId="174" fontId="0" fillId="7" borderId="6" xfId="0" applyNumberFormat="1" applyFont="1" applyFill="1" applyBorder="1" applyAlignment="1">
      <alignment horizontal="center" vertical="center" wrapText="1"/>
    </xf>
    <xf numFmtId="174" fontId="4" fillId="4" borderId="6" xfId="0" applyNumberFormat="1" applyFont="1" applyFill="1" applyBorder="1" applyAlignment="1">
      <alignment horizontal="center" vertical="center" wrapText="1"/>
    </xf>
    <xf numFmtId="174" fontId="4" fillId="4" borderId="7" xfId="0" applyNumberFormat="1" applyFont="1" applyFill="1" applyBorder="1" applyAlignment="1">
      <alignment horizontal="center" vertical="center" wrapText="1"/>
    </xf>
    <xf numFmtId="174" fontId="0" fillId="10" borderId="6" xfId="0" applyNumberFormat="1" applyFill="1" applyBorder="1" applyAlignment="1">
      <alignment horizontal="center" vertical="center" wrapText="1"/>
    </xf>
    <xf numFmtId="0" fontId="4" fillId="0" borderId="0" xfId="0" applyFont="1" applyAlignment="1">
      <alignment/>
    </xf>
    <xf numFmtId="2" fontId="72" fillId="7" borderId="3" xfId="0" applyNumberFormat="1" applyFont="1" applyFill="1" applyBorder="1" applyAlignment="1">
      <alignment horizontal="left"/>
    </xf>
    <xf numFmtId="0" fontId="2" fillId="0" borderId="65" xfId="0" applyFont="1" applyBorder="1" applyAlignment="1">
      <alignment horizontal="center"/>
    </xf>
    <xf numFmtId="0" fontId="2" fillId="0" borderId="66" xfId="0" applyFont="1" applyBorder="1" applyAlignment="1">
      <alignment horizontal="center"/>
    </xf>
    <xf numFmtId="0" fontId="0" fillId="0" borderId="67" xfId="0" applyBorder="1" applyAlignment="1">
      <alignment/>
    </xf>
    <xf numFmtId="3" fontId="0" fillId="0" borderId="6" xfId="0" applyNumberFormat="1" applyBorder="1" applyAlignment="1">
      <alignment horizontal="center"/>
    </xf>
    <xf numFmtId="3" fontId="0" fillId="0" borderId="66" xfId="0" applyNumberFormat="1" applyBorder="1" applyAlignment="1">
      <alignment horizontal="center"/>
    </xf>
    <xf numFmtId="0" fontId="0" fillId="0" borderId="68" xfId="0" applyBorder="1" applyAlignment="1">
      <alignment/>
    </xf>
    <xf numFmtId="0" fontId="0" fillId="0" borderId="69" xfId="0" applyBorder="1" applyAlignment="1">
      <alignment/>
    </xf>
    <xf numFmtId="0" fontId="0" fillId="0" borderId="70" xfId="0" applyBorder="1" applyAlignment="1">
      <alignment horizontal="center"/>
    </xf>
    <xf numFmtId="3" fontId="0" fillId="0" borderId="70" xfId="0" applyNumberFormat="1" applyBorder="1" applyAlignment="1">
      <alignment horizontal="center"/>
    </xf>
    <xf numFmtId="3" fontId="0" fillId="0" borderId="71" xfId="0" applyNumberFormat="1" applyBorder="1" applyAlignment="1">
      <alignment horizontal="center"/>
    </xf>
    <xf numFmtId="0" fontId="48" fillId="9" borderId="6" xfId="0" applyFont="1" applyFill="1" applyBorder="1" applyAlignment="1" applyProtection="1">
      <alignment horizontal="center"/>
      <protection locked="0"/>
    </xf>
    <xf numFmtId="4" fontId="48" fillId="8" borderId="6" xfId="0" applyNumberFormat="1" applyFont="1" applyFill="1" applyBorder="1" applyAlignment="1">
      <alignment horizontal="center"/>
    </xf>
    <xf numFmtId="0" fontId="48" fillId="6" borderId="8" xfId="0" applyFont="1" applyFill="1" applyBorder="1" applyAlignment="1" applyProtection="1">
      <alignment/>
      <protection locked="0"/>
    </xf>
    <xf numFmtId="4" fontId="48" fillId="6" borderId="6" xfId="0" applyNumberFormat="1" applyFont="1" applyFill="1" applyBorder="1" applyAlignment="1" applyProtection="1">
      <alignment/>
      <protection locked="0"/>
    </xf>
    <xf numFmtId="4" fontId="48" fillId="6" borderId="8" xfId="0" applyNumberFormat="1" applyFont="1" applyFill="1" applyBorder="1" applyAlignment="1">
      <alignment/>
    </xf>
    <xf numFmtId="0" fontId="48" fillId="6" borderId="6" xfId="0" applyFont="1" applyFill="1" applyBorder="1" applyAlignment="1" applyProtection="1">
      <alignment/>
      <protection locked="0"/>
    </xf>
    <xf numFmtId="4" fontId="48" fillId="6" borderId="6" xfId="0" applyNumberFormat="1" applyFont="1" applyFill="1" applyBorder="1" applyAlignment="1">
      <alignment/>
    </xf>
    <xf numFmtId="0" fontId="48" fillId="4" borderId="38" xfId="0" applyFont="1" applyFill="1" applyBorder="1" applyAlignment="1" applyProtection="1">
      <alignment/>
      <protection locked="0"/>
    </xf>
    <xf numFmtId="0" fontId="50" fillId="4" borderId="8" xfId="0" applyFont="1" applyFill="1" applyBorder="1" applyAlignment="1" applyProtection="1">
      <alignment/>
      <protection locked="0"/>
    </xf>
    <xf numFmtId="4" fontId="50" fillId="4" borderId="6" xfId="0" applyNumberFormat="1" applyFont="1" applyFill="1" applyBorder="1" applyAlignment="1" applyProtection="1">
      <alignment/>
      <protection locked="0"/>
    </xf>
    <xf numFmtId="0" fontId="48" fillId="6" borderId="34" xfId="0" applyFont="1" applyFill="1" applyBorder="1" applyAlignment="1" applyProtection="1">
      <alignment/>
      <protection locked="0"/>
    </xf>
    <xf numFmtId="173" fontId="48" fillId="6" borderId="7" xfId="0" applyNumberFormat="1" applyFont="1" applyFill="1" applyBorder="1" applyAlignment="1">
      <alignment horizontal="center"/>
    </xf>
    <xf numFmtId="173" fontId="49" fillId="4" borderId="0" xfId="0" applyNumberFormat="1" applyFont="1" applyFill="1" applyBorder="1" applyAlignment="1">
      <alignment horizontal="center"/>
    </xf>
    <xf numFmtId="0" fontId="48" fillId="6" borderId="7" xfId="0" applyFont="1" applyFill="1" applyBorder="1" applyAlignment="1" applyProtection="1">
      <alignment/>
      <protection locked="0"/>
    </xf>
    <xf numFmtId="4" fontId="48" fillId="9" borderId="6" xfId="0" applyNumberFormat="1" applyFont="1" applyFill="1" applyBorder="1" applyAlignment="1" applyProtection="1">
      <alignment horizontal="center"/>
      <protection locked="0"/>
    </xf>
    <xf numFmtId="0" fontId="48" fillId="9" borderId="8" xfId="0" applyFont="1" applyFill="1" applyBorder="1" applyAlignment="1" applyProtection="1">
      <alignment horizontal="center"/>
      <protection locked="0"/>
    </xf>
    <xf numFmtId="3" fontId="0" fillId="7" borderId="72" xfId="0" applyNumberFormat="1" applyFill="1" applyBorder="1" applyAlignment="1">
      <alignment horizontal="center"/>
    </xf>
    <xf numFmtId="3" fontId="0" fillId="7" borderId="73" xfId="0" applyNumberFormat="1" applyFill="1" applyBorder="1" applyAlignment="1">
      <alignment horizontal="center"/>
    </xf>
    <xf numFmtId="0" fontId="6" fillId="7" borderId="0" xfId="0" applyFont="1" applyFill="1" applyBorder="1" applyAlignment="1">
      <alignment wrapText="1"/>
    </xf>
    <xf numFmtId="0" fontId="7" fillId="7" borderId="0" xfId="0" applyFont="1" applyFill="1" applyBorder="1" applyAlignment="1">
      <alignment vertical="center"/>
    </xf>
    <xf numFmtId="0" fontId="6" fillId="7" borderId="13" xfId="0" applyFont="1" applyFill="1" applyBorder="1" applyAlignment="1">
      <alignment/>
    </xf>
    <xf numFmtId="0" fontId="6" fillId="7" borderId="0" xfId="0" applyFont="1" applyFill="1" applyBorder="1" applyAlignment="1">
      <alignment vertical="center"/>
    </xf>
    <xf numFmtId="0" fontId="6" fillId="0" borderId="0" xfId="0" applyFont="1" applyAlignment="1">
      <alignment/>
    </xf>
    <xf numFmtId="0" fontId="17" fillId="7" borderId="0" xfId="36" applyFont="1" applyFill="1" applyBorder="1" applyAlignment="1">
      <alignment vertical="center"/>
    </xf>
    <xf numFmtId="0" fontId="17" fillId="7" borderId="0" xfId="0" applyFont="1" applyFill="1" applyBorder="1" applyAlignment="1">
      <alignment vertical="center"/>
    </xf>
    <xf numFmtId="0" fontId="17" fillId="7" borderId="14" xfId="0" applyFont="1" applyFill="1" applyBorder="1" applyAlignment="1">
      <alignment vertical="center"/>
    </xf>
    <xf numFmtId="0" fontId="17" fillId="0" borderId="0" xfId="0" applyFont="1" applyAlignment="1">
      <alignment/>
    </xf>
    <xf numFmtId="0" fontId="6" fillId="7" borderId="13" xfId="0" applyFont="1" applyFill="1" applyBorder="1" applyAlignment="1">
      <alignment vertical="center"/>
    </xf>
    <xf numFmtId="0" fontId="2" fillId="0" borderId="0" xfId="0" applyFont="1" applyAlignment="1">
      <alignment vertical="center"/>
    </xf>
    <xf numFmtId="0" fontId="6" fillId="7" borderId="0" xfId="0" applyFont="1" applyFill="1" applyBorder="1" applyAlignment="1">
      <alignment horizontal="left" vertical="center"/>
    </xf>
    <xf numFmtId="0" fontId="2" fillId="7" borderId="13" xfId="0" applyFont="1" applyFill="1" applyBorder="1" applyAlignment="1">
      <alignment vertical="center"/>
    </xf>
    <xf numFmtId="0" fontId="2" fillId="7" borderId="13" xfId="0" applyFont="1" applyFill="1" applyBorder="1" applyAlignment="1">
      <alignment/>
    </xf>
    <xf numFmtId="0" fontId="2" fillId="7" borderId="17" xfId="0" applyFont="1" applyFill="1" applyBorder="1" applyAlignment="1">
      <alignment/>
    </xf>
    <xf numFmtId="0" fontId="6" fillId="7" borderId="18" xfId="0" applyFont="1" applyFill="1" applyBorder="1" applyAlignment="1">
      <alignment horizontal="left" vertical="center"/>
    </xf>
    <xf numFmtId="0" fontId="79" fillId="0" borderId="0" xfId="0" applyFont="1" applyAlignment="1">
      <alignment/>
    </xf>
    <xf numFmtId="0" fontId="7" fillId="7" borderId="0" xfId="0" applyFont="1" applyFill="1" applyBorder="1" applyAlignment="1">
      <alignment/>
    </xf>
    <xf numFmtId="0" fontId="7" fillId="7" borderId="18" xfId="0" applyFont="1" applyFill="1" applyBorder="1" applyAlignment="1">
      <alignment horizontal="left" vertical="center"/>
    </xf>
    <xf numFmtId="0" fontId="80" fillId="0" borderId="0" xfId="0" applyFont="1" applyAlignment="1">
      <alignment/>
    </xf>
    <xf numFmtId="0" fontId="7" fillId="7" borderId="0" xfId="0" applyFont="1" applyFill="1" applyBorder="1" applyAlignment="1">
      <alignment horizontal="left" vertical="center"/>
    </xf>
    <xf numFmtId="0" fontId="17" fillId="7" borderId="18" xfId="0" applyFont="1" applyFill="1" applyBorder="1" applyAlignment="1">
      <alignment horizontal="left" vertical="center"/>
    </xf>
    <xf numFmtId="0" fontId="2" fillId="0" borderId="21" xfId="0" applyFont="1" applyFill="1" applyBorder="1" applyAlignment="1">
      <alignment wrapText="1"/>
    </xf>
    <xf numFmtId="0" fontId="0" fillId="0" borderId="21" xfId="0" applyBorder="1" applyAlignment="1">
      <alignment wrapText="1"/>
    </xf>
    <xf numFmtId="0" fontId="14" fillId="7" borderId="0" xfId="0" applyFont="1" applyFill="1" applyBorder="1" applyAlignment="1">
      <alignment/>
    </xf>
    <xf numFmtId="0" fontId="17" fillId="7" borderId="5" xfId="0" applyFont="1" applyFill="1" applyBorder="1" applyAlignment="1">
      <alignment vertical="center"/>
    </xf>
    <xf numFmtId="0" fontId="17" fillId="7" borderId="12" xfId="0" applyFont="1" applyFill="1" applyBorder="1" applyAlignment="1">
      <alignment vertical="center"/>
    </xf>
    <xf numFmtId="0" fontId="17" fillId="7" borderId="18" xfId="0" applyFont="1" applyFill="1" applyBorder="1" applyAlignment="1">
      <alignment vertical="center"/>
    </xf>
    <xf numFmtId="0" fontId="2" fillId="0" borderId="74" xfId="0" applyFont="1" applyFill="1" applyBorder="1" applyAlignment="1">
      <alignment horizontal="center" vertical="center"/>
    </xf>
    <xf numFmtId="0" fontId="0" fillId="0" borderId="74" xfId="0" applyFill="1" applyBorder="1" applyAlignment="1">
      <alignment horizontal="center" vertical="center" wrapText="1"/>
    </xf>
    <xf numFmtId="0" fontId="0" fillId="0" borderId="74" xfId="0" applyFont="1" applyFill="1" applyBorder="1" applyAlignment="1">
      <alignment horizontal="center" vertical="center" wrapText="1"/>
    </xf>
    <xf numFmtId="0" fontId="0" fillId="7" borderId="0" xfId="0" applyFill="1" applyBorder="1" applyAlignment="1">
      <alignment vertical="center" wrapText="1"/>
    </xf>
    <xf numFmtId="0" fontId="0" fillId="7" borderId="0" xfId="0" applyFill="1" applyBorder="1" applyAlignment="1">
      <alignment horizontal="right" vertical="center"/>
    </xf>
    <xf numFmtId="2" fontId="0" fillId="7" borderId="0" xfId="0" applyNumberFormat="1" applyFill="1" applyBorder="1" applyAlignment="1" applyProtection="1">
      <alignment vertical="center" wrapText="1"/>
      <protection/>
    </xf>
    <xf numFmtId="0" fontId="0" fillId="0" borderId="74" xfId="0" applyBorder="1" applyAlignment="1">
      <alignment horizontal="center" vertical="center"/>
    </xf>
    <xf numFmtId="0" fontId="19" fillId="0" borderId="0" xfId="0" applyFont="1" applyBorder="1" applyAlignment="1">
      <alignment/>
    </xf>
    <xf numFmtId="0" fontId="82" fillId="0" borderId="0" xfId="0" applyFont="1" applyFill="1" applyAlignment="1">
      <alignment horizontal="center"/>
    </xf>
    <xf numFmtId="2" fontId="2" fillId="9" borderId="3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wrapText="1"/>
    </xf>
    <xf numFmtId="0" fontId="18" fillId="0" borderId="0" xfId="0" applyFont="1" applyFill="1" applyBorder="1" applyAlignment="1">
      <alignment vertical="center" wrapText="1"/>
    </xf>
    <xf numFmtId="0" fontId="0" fillId="7" borderId="6" xfId="0" applyFill="1" applyBorder="1" applyAlignment="1">
      <alignment horizontal="center" vertical="center"/>
    </xf>
    <xf numFmtId="2" fontId="0" fillId="7" borderId="6" xfId="0" applyNumberFormat="1" applyFill="1" applyBorder="1" applyAlignment="1">
      <alignment horizontal="center" vertical="center"/>
    </xf>
    <xf numFmtId="0" fontId="19" fillId="0" borderId="0" xfId="0" applyFont="1" applyFill="1" applyBorder="1" applyAlignment="1">
      <alignment wrapText="1"/>
    </xf>
    <xf numFmtId="0" fontId="50" fillId="0" borderId="0" xfId="0" applyFont="1" applyFill="1" applyAlignment="1">
      <alignment/>
    </xf>
    <xf numFmtId="0" fontId="53" fillId="0" borderId="6" xfId="0" applyFont="1" applyFill="1" applyBorder="1" applyAlignment="1">
      <alignment horizontal="center"/>
    </xf>
    <xf numFmtId="0" fontId="50" fillId="0" borderId="0" xfId="0" applyFont="1" applyFill="1" applyBorder="1" applyAlignment="1">
      <alignment/>
    </xf>
    <xf numFmtId="0" fontId="52" fillId="7" borderId="75" xfId="0" applyFont="1" applyFill="1" applyBorder="1" applyAlignment="1" applyProtection="1">
      <alignment horizontal="center"/>
      <protection locked="0"/>
    </xf>
    <xf numFmtId="0" fontId="62" fillId="7" borderId="75" xfId="0" applyFont="1" applyFill="1" applyBorder="1" applyAlignment="1">
      <alignment horizontal="center"/>
    </xf>
    <xf numFmtId="4" fontId="52" fillId="7" borderId="75" xfId="0" applyNumberFormat="1" applyFont="1" applyFill="1" applyBorder="1" applyAlignment="1" applyProtection="1">
      <alignment horizontal="center"/>
      <protection locked="0"/>
    </xf>
    <xf numFmtId="0" fontId="54" fillId="7" borderId="72" xfId="0" applyFont="1" applyFill="1" applyBorder="1" applyAlignment="1">
      <alignment horizontal="center"/>
    </xf>
    <xf numFmtId="174" fontId="54" fillId="7" borderId="72" xfId="0" applyNumberFormat="1" applyFont="1" applyFill="1" applyBorder="1" applyAlignment="1">
      <alignment horizontal="center"/>
    </xf>
    <xf numFmtId="173" fontId="48" fillId="7" borderId="8" xfId="0" applyNumberFormat="1" applyFont="1" applyFill="1" applyBorder="1" applyAlignment="1">
      <alignment horizontal="center"/>
    </xf>
    <xf numFmtId="0" fontId="0" fillId="0" borderId="0" xfId="0" applyBorder="1" applyAlignment="1">
      <alignment wrapText="1"/>
    </xf>
    <xf numFmtId="0" fontId="50" fillId="0" borderId="76" xfId="0" applyFont="1" applyFill="1" applyBorder="1" applyAlignment="1">
      <alignment vertical="center"/>
    </xf>
    <xf numFmtId="0" fontId="52" fillId="0" borderId="9" xfId="0" applyFont="1" applyFill="1" applyBorder="1" applyAlignment="1">
      <alignment/>
    </xf>
    <xf numFmtId="0" fontId="52" fillId="0" borderId="31" xfId="0" applyFont="1" applyFill="1" applyBorder="1" applyAlignment="1">
      <alignment/>
    </xf>
    <xf numFmtId="0" fontId="52" fillId="0" borderId="10" xfId="0" applyFont="1" applyFill="1" applyBorder="1" applyAlignment="1">
      <alignment/>
    </xf>
    <xf numFmtId="0" fontId="0" fillId="0" borderId="0" xfId="0" applyFill="1" applyAlignment="1">
      <alignment/>
    </xf>
    <xf numFmtId="0" fontId="82" fillId="0" borderId="0" xfId="0" applyFont="1" applyFill="1" applyAlignment="1">
      <alignment/>
    </xf>
    <xf numFmtId="0" fontId="47" fillId="6" borderId="6" xfId="0" applyFont="1" applyFill="1" applyBorder="1" applyAlignment="1" applyProtection="1">
      <alignment horizontal="centerContinuous"/>
      <protection/>
    </xf>
    <xf numFmtId="0" fontId="47" fillId="6" borderId="6" xfId="0" applyFont="1" applyFill="1" applyBorder="1" applyAlignment="1" applyProtection="1">
      <alignment horizontal="center"/>
      <protection/>
    </xf>
    <xf numFmtId="172" fontId="47" fillId="6" borderId="6" xfId="0" applyNumberFormat="1" applyFont="1" applyFill="1" applyBorder="1" applyAlignment="1" applyProtection="1">
      <alignment horizontal="center"/>
      <protection/>
    </xf>
    <xf numFmtId="0" fontId="1" fillId="7" borderId="0" xfId="0" applyFont="1" applyFill="1" applyBorder="1" applyAlignment="1">
      <alignment vertical="top"/>
    </xf>
    <xf numFmtId="0" fontId="0" fillId="0" borderId="0" xfId="0"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0" fontId="65" fillId="0" borderId="0" xfId="0" applyFont="1" applyFill="1" applyAlignment="1">
      <alignment/>
    </xf>
    <xf numFmtId="0" fontId="65" fillId="0" borderId="0" xfId="0" applyFont="1" applyFill="1" applyBorder="1" applyAlignment="1">
      <alignment/>
    </xf>
    <xf numFmtId="0" fontId="82" fillId="0" borderId="0" xfId="0" applyFont="1" applyFill="1" applyAlignment="1">
      <alignment vertical="center" wrapText="1"/>
    </xf>
    <xf numFmtId="0" fontId="27" fillId="0" borderId="0" xfId="0" applyFont="1" applyBorder="1" applyAlignment="1">
      <alignment/>
    </xf>
    <xf numFmtId="0" fontId="6" fillId="0" borderId="21" xfId="0" applyFont="1" applyFill="1" applyBorder="1" applyAlignment="1">
      <alignment/>
    </xf>
    <xf numFmtId="3" fontId="78" fillId="7" borderId="0" xfId="0" applyNumberFormat="1" applyFont="1" applyFill="1" applyBorder="1" applyAlignment="1">
      <alignment horizontal="center"/>
    </xf>
    <xf numFmtId="3" fontId="78" fillId="7" borderId="72" xfId="0" applyNumberFormat="1" applyFont="1" applyFill="1" applyBorder="1" applyAlignment="1">
      <alignment horizontal="center"/>
    </xf>
    <xf numFmtId="0" fontId="0" fillId="0" borderId="13" xfId="0" applyFill="1" applyBorder="1" applyAlignment="1">
      <alignment wrapText="1"/>
    </xf>
    <xf numFmtId="0" fontId="0" fillId="0" borderId="14" xfId="0" applyFill="1" applyBorder="1" applyAlignment="1">
      <alignment wrapText="1"/>
    </xf>
    <xf numFmtId="0" fontId="6" fillId="7" borderId="0" xfId="0" applyNumberFormat="1" applyFont="1" applyFill="1" applyBorder="1" applyAlignment="1">
      <alignment horizontal="left" vertical="center"/>
    </xf>
    <xf numFmtId="1" fontId="2" fillId="0" borderId="77" xfId="0" applyNumberFormat="1" applyFont="1" applyBorder="1" applyAlignment="1">
      <alignment horizontal="center"/>
    </xf>
    <xf numFmtId="0" fontId="6" fillId="7" borderId="11" xfId="0" applyFont="1" applyFill="1" applyBorder="1" applyAlignment="1">
      <alignment/>
    </xf>
    <xf numFmtId="0" fontId="40"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xf>
    <xf numFmtId="0" fontId="0" fillId="8" borderId="78"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79" xfId="0" applyFill="1" applyBorder="1" applyAlignment="1">
      <alignment horizontal="center" vertical="center" wrapText="1"/>
    </xf>
    <xf numFmtId="0" fontId="0" fillId="8" borderId="80" xfId="0" applyFill="1" applyBorder="1" applyAlignment="1">
      <alignment vertical="center" wrapText="1"/>
    </xf>
    <xf numFmtId="0" fontId="0" fillId="0" borderId="13" xfId="0" applyFill="1" applyBorder="1" applyAlignment="1">
      <alignment/>
    </xf>
    <xf numFmtId="0" fontId="0" fillId="0" borderId="15" xfId="0" applyFill="1" applyBorder="1" applyAlignment="1">
      <alignment/>
    </xf>
    <xf numFmtId="2" fontId="3" fillId="0" borderId="16" xfId="0" applyNumberFormat="1" applyFont="1" applyFill="1" applyBorder="1" applyAlignment="1">
      <alignment/>
    </xf>
    <xf numFmtId="2" fontId="3" fillId="8" borderId="23" xfId="0" applyNumberFormat="1" applyFont="1" applyFill="1" applyBorder="1" applyAlignment="1">
      <alignment/>
    </xf>
    <xf numFmtId="0" fontId="48" fillId="0" borderId="35" xfId="0" applyFont="1" applyFill="1" applyBorder="1" applyAlignment="1" applyProtection="1">
      <alignment horizontal="center"/>
      <protection/>
    </xf>
    <xf numFmtId="0" fontId="48" fillId="0" borderId="6" xfId="0" applyFont="1" applyFill="1" applyBorder="1" applyAlignment="1" applyProtection="1">
      <alignment horizontal="center"/>
      <protection/>
    </xf>
    <xf numFmtId="0" fontId="48" fillId="0" borderId="8" xfId="0" applyFont="1" applyFill="1" applyBorder="1" applyAlignment="1" applyProtection="1">
      <alignment horizontal="center"/>
      <protection/>
    </xf>
    <xf numFmtId="0" fontId="48" fillId="0" borderId="7" xfId="0" applyFont="1" applyFill="1" applyBorder="1" applyAlignment="1" applyProtection="1">
      <alignment horizontal="center"/>
      <protection/>
    </xf>
    <xf numFmtId="0" fontId="48" fillId="0" borderId="39" xfId="0" applyFont="1" applyFill="1" applyBorder="1" applyAlignment="1" applyProtection="1">
      <alignment horizontal="center"/>
      <protection/>
    </xf>
    <xf numFmtId="175" fontId="48" fillId="14" borderId="35" xfId="0" applyNumberFormat="1" applyFont="1" applyFill="1" applyBorder="1" applyAlignment="1" applyProtection="1">
      <alignment horizontal="center"/>
      <protection/>
    </xf>
    <xf numFmtId="0" fontId="48" fillId="9" borderId="35" xfId="0" applyFont="1" applyFill="1" applyBorder="1" applyAlignment="1" applyProtection="1">
      <alignment horizontal="center"/>
      <protection locked="0"/>
    </xf>
    <xf numFmtId="172" fontId="48" fillId="8" borderId="35" xfId="0" applyNumberFormat="1" applyFont="1" applyFill="1" applyBorder="1" applyAlignment="1" applyProtection="1">
      <alignment horizontal="center"/>
      <protection/>
    </xf>
    <xf numFmtId="175" fontId="48" fillId="14" borderId="6" xfId="0" applyNumberFormat="1" applyFont="1" applyFill="1" applyBorder="1" applyAlignment="1" applyProtection="1">
      <alignment horizontal="center"/>
      <protection/>
    </xf>
    <xf numFmtId="172" fontId="48" fillId="8" borderId="6" xfId="0" applyNumberFormat="1" applyFont="1" applyFill="1" applyBorder="1" applyAlignment="1" applyProtection="1">
      <alignment horizontal="center"/>
      <protection/>
    </xf>
    <xf numFmtId="175" fontId="48" fillId="14" borderId="8" xfId="0" applyNumberFormat="1" applyFont="1" applyFill="1" applyBorder="1" applyAlignment="1" applyProtection="1">
      <alignment horizontal="center"/>
      <protection/>
    </xf>
    <xf numFmtId="172" fontId="48" fillId="8" borderId="8" xfId="0" applyNumberFormat="1" applyFont="1" applyFill="1" applyBorder="1" applyAlignment="1" applyProtection="1">
      <alignment horizontal="center"/>
      <protection/>
    </xf>
    <xf numFmtId="175" fontId="48" fillId="14" borderId="7" xfId="0" applyNumberFormat="1" applyFont="1" applyFill="1" applyBorder="1" applyAlignment="1" applyProtection="1">
      <alignment horizontal="center"/>
      <protection/>
    </xf>
    <xf numFmtId="0" fontId="48" fillId="9" borderId="7" xfId="0" applyFont="1" applyFill="1" applyBorder="1" applyAlignment="1" applyProtection="1">
      <alignment horizontal="center"/>
      <protection locked="0"/>
    </xf>
    <xf numFmtId="172" fontId="48" fillId="8" borderId="7" xfId="0" applyNumberFormat="1" applyFont="1" applyFill="1" applyBorder="1" applyAlignment="1" applyProtection="1">
      <alignment horizontal="center"/>
      <protection/>
    </xf>
    <xf numFmtId="175" fontId="48" fillId="14" borderId="20" xfId="0" applyNumberFormat="1" applyFont="1" applyFill="1" applyBorder="1" applyAlignment="1" applyProtection="1">
      <alignment horizontal="center"/>
      <protection/>
    </xf>
    <xf numFmtId="175" fontId="48" fillId="14" borderId="39" xfId="0" applyNumberFormat="1" applyFont="1" applyFill="1" applyBorder="1" applyAlignment="1" applyProtection="1">
      <alignment horizontal="center"/>
      <protection/>
    </xf>
    <xf numFmtId="0" fontId="48" fillId="9" borderId="39" xfId="0" applyFont="1" applyFill="1" applyBorder="1" applyAlignment="1" applyProtection="1">
      <alignment horizontal="center"/>
      <protection locked="0"/>
    </xf>
    <xf numFmtId="0" fontId="0" fillId="0" borderId="6" xfId="0" applyFill="1" applyBorder="1" applyAlignment="1">
      <alignment horizontal="fill" vertical="center" wrapText="1"/>
    </xf>
    <xf numFmtId="3" fontId="11" fillId="9" borderId="8" xfId="0" applyNumberFormat="1" applyFont="1" applyFill="1" applyBorder="1" applyAlignment="1" applyProtection="1">
      <alignment horizontal="center"/>
      <protection locked="0"/>
    </xf>
    <xf numFmtId="172" fontId="11" fillId="14" borderId="8" xfId="0" applyNumberFormat="1" applyFont="1" applyFill="1" applyBorder="1" applyAlignment="1">
      <alignment horizontal="center"/>
    </xf>
    <xf numFmtId="172" fontId="11" fillId="14" borderId="6" xfId="0" applyNumberFormat="1" applyFont="1" applyFill="1" applyBorder="1" applyAlignment="1">
      <alignment horizontal="center"/>
    </xf>
    <xf numFmtId="0" fontId="11" fillId="8" borderId="6" xfId="0" applyFont="1" applyFill="1" applyBorder="1" applyAlignment="1">
      <alignment horizontal="center"/>
    </xf>
    <xf numFmtId="2" fontId="2" fillId="9" borderId="10" xfId="0" applyNumberFormat="1" applyFont="1" applyFill="1" applyBorder="1" applyAlignment="1">
      <alignment/>
    </xf>
    <xf numFmtId="2" fontId="2" fillId="9" borderId="9" xfId="0" applyNumberFormat="1" applyFont="1" applyFill="1" applyBorder="1" applyAlignment="1">
      <alignment/>
    </xf>
    <xf numFmtId="2" fontId="0" fillId="10" borderId="10" xfId="0" applyNumberFormat="1" applyFill="1" applyBorder="1" applyAlignment="1">
      <alignment/>
    </xf>
    <xf numFmtId="2" fontId="0" fillId="10" borderId="9" xfId="0" applyNumberFormat="1" applyFill="1" applyBorder="1" applyAlignment="1">
      <alignment/>
    </xf>
    <xf numFmtId="2" fontId="3" fillId="8" borderId="10" xfId="0" applyNumberFormat="1" applyFont="1" applyFill="1" applyBorder="1" applyAlignment="1">
      <alignment/>
    </xf>
    <xf numFmtId="2" fontId="3" fillId="8" borderId="9" xfId="0" applyNumberFormat="1" applyFont="1" applyFill="1" applyBorder="1" applyAlignment="1">
      <alignment/>
    </xf>
    <xf numFmtId="2" fontId="0" fillId="5" borderId="10" xfId="0" applyNumberFormat="1" applyFill="1" applyBorder="1" applyAlignment="1">
      <alignment/>
    </xf>
    <xf numFmtId="2" fontId="0" fillId="5" borderId="9" xfId="0" applyNumberFormat="1" applyFill="1" applyBorder="1" applyAlignment="1">
      <alignment/>
    </xf>
    <xf numFmtId="0" fontId="0" fillId="0" borderId="15" xfId="0" applyFill="1" applyBorder="1" applyAlignment="1">
      <alignment/>
    </xf>
    <xf numFmtId="0" fontId="0" fillId="0" borderId="21" xfId="0" applyFill="1" applyBorder="1" applyAlignment="1">
      <alignment/>
    </xf>
    <xf numFmtId="0" fontId="2" fillId="0" borderId="81" xfId="0" applyFont="1" applyBorder="1" applyAlignment="1">
      <alignment horizontal="center"/>
    </xf>
    <xf numFmtId="0" fontId="0" fillId="0" borderId="66" xfId="0" applyFill="1" applyBorder="1" applyAlignment="1">
      <alignment horizontal="center" vertical="center" wrapText="1"/>
    </xf>
    <xf numFmtId="175" fontId="0" fillId="0" borderId="66" xfId="0" applyNumberFormat="1" applyBorder="1" applyAlignment="1">
      <alignment horizontal="center" vertical="center" wrapText="1"/>
    </xf>
    <xf numFmtId="0" fontId="0" fillId="0" borderId="70" xfId="0" applyBorder="1" applyAlignment="1">
      <alignment horizontal="center" vertical="center" wrapText="1"/>
    </xf>
    <xf numFmtId="175" fontId="0" fillId="0" borderId="71" xfId="0" applyNumberFormat="1" applyBorder="1" applyAlignment="1">
      <alignment horizontal="center" vertical="center" wrapText="1"/>
    </xf>
    <xf numFmtId="0" fontId="0" fillId="6" borderId="6" xfId="0" applyFill="1" applyBorder="1" applyAlignment="1">
      <alignment horizontal="center" vertical="center"/>
    </xf>
    <xf numFmtId="0" fontId="0" fillId="6" borderId="6" xfId="0" applyFill="1" applyBorder="1" applyAlignment="1">
      <alignment horizontal="center"/>
    </xf>
    <xf numFmtId="0" fontId="13" fillId="0" borderId="13" xfId="0" applyFont="1" applyFill="1" applyBorder="1" applyAlignment="1">
      <alignment/>
    </xf>
    <xf numFmtId="0" fontId="11" fillId="0" borderId="13" xfId="0" applyFont="1" applyFill="1" applyBorder="1" applyAlignment="1">
      <alignment/>
    </xf>
    <xf numFmtId="194" fontId="0" fillId="8" borderId="6" xfId="0" applyNumberFormat="1" applyFont="1" applyFill="1" applyBorder="1" applyAlignment="1">
      <alignment horizontal="center" vertical="center" wrapText="1"/>
    </xf>
    <xf numFmtId="194" fontId="0" fillId="9" borderId="6" xfId="0" applyNumberFormat="1" applyFill="1" applyBorder="1" applyAlignment="1">
      <alignment horizontal="center" vertical="center" wrapText="1"/>
    </xf>
    <xf numFmtId="175" fontId="0" fillId="8" borderId="6" xfId="0" applyNumberFormat="1" applyFont="1" applyFill="1" applyBorder="1" applyAlignment="1" applyProtection="1">
      <alignment horizontal="center" vertical="center" wrapText="1"/>
      <protection/>
    </xf>
    <xf numFmtId="175" fontId="48" fillId="8" borderId="8" xfId="0" applyNumberFormat="1" applyFont="1" applyFill="1" applyBorder="1" applyAlignment="1">
      <alignment horizontal="center"/>
    </xf>
    <xf numFmtId="175" fontId="48" fillId="9" borderId="8" xfId="0" applyNumberFormat="1" applyFont="1" applyFill="1" applyBorder="1" applyAlignment="1" applyProtection="1">
      <alignment horizontal="center"/>
      <protection locked="0"/>
    </xf>
    <xf numFmtId="175" fontId="48" fillId="9" borderId="6" xfId="0" applyNumberFormat="1" applyFont="1" applyFill="1" applyBorder="1" applyAlignment="1" applyProtection="1">
      <alignment horizontal="center"/>
      <protection locked="0"/>
    </xf>
    <xf numFmtId="0" fontId="62" fillId="11" borderId="6" xfId="0" applyFont="1" applyFill="1" applyBorder="1" applyAlignment="1" applyProtection="1">
      <alignment/>
      <protection/>
    </xf>
    <xf numFmtId="0" fontId="47" fillId="6" borderId="6" xfId="0" applyFont="1" applyFill="1" applyBorder="1" applyAlignment="1" applyProtection="1">
      <alignment horizontal="center"/>
      <protection/>
    </xf>
    <xf numFmtId="0" fontId="0" fillId="0" borderId="13" xfId="0" applyBorder="1" applyAlignment="1">
      <alignment/>
    </xf>
    <xf numFmtId="0" fontId="0" fillId="7" borderId="82" xfId="0" applyFont="1" applyFill="1" applyBorder="1" applyAlignment="1">
      <alignment vertical="top" wrapText="1"/>
    </xf>
    <xf numFmtId="0" fontId="1" fillId="0" borderId="6" xfId="0" applyFont="1" applyBorder="1" applyAlignment="1">
      <alignment vertical="center"/>
    </xf>
    <xf numFmtId="0" fontId="0" fillId="7" borderId="16" xfId="0" applyFill="1" applyBorder="1" applyAlignment="1">
      <alignment horizontal="center" vertical="center"/>
    </xf>
    <xf numFmtId="0" fontId="2" fillId="0" borderId="83" xfId="0" applyFont="1" applyFill="1" applyBorder="1" applyAlignment="1">
      <alignment horizontal="center" vertical="center" wrapText="1"/>
    </xf>
    <xf numFmtId="0" fontId="0" fillId="0" borderId="84" xfId="0" applyFill="1" applyBorder="1" applyAlignment="1">
      <alignment horizontal="center"/>
    </xf>
    <xf numFmtId="0" fontId="0" fillId="0" borderId="85" xfId="0" applyFill="1" applyBorder="1" applyAlignment="1">
      <alignment horizontal="center"/>
    </xf>
    <xf numFmtId="0" fontId="0" fillId="0" borderId="86" xfId="0" applyFill="1" applyBorder="1" applyAlignment="1">
      <alignment horizontal="center"/>
    </xf>
    <xf numFmtId="194" fontId="0" fillId="8" borderId="6" xfId="0" applyNumberFormat="1" applyFill="1" applyBorder="1" applyAlignment="1">
      <alignment horizontal="center" vertical="center" wrapText="1"/>
    </xf>
    <xf numFmtId="0" fontId="0" fillId="0" borderId="6" xfId="0" applyFont="1" applyFill="1" applyBorder="1" applyAlignment="1">
      <alignment horizontal="center" vertical="center"/>
    </xf>
    <xf numFmtId="0" fontId="0" fillId="0" borderId="66" xfId="0" applyFont="1" applyFill="1" applyBorder="1" applyAlignment="1">
      <alignment horizontal="center" vertical="center" wrapText="1"/>
    </xf>
    <xf numFmtId="194" fontId="0" fillId="8" borderId="6" xfId="0" applyNumberFormat="1" applyFont="1" applyFill="1" applyBorder="1" applyAlignment="1" applyProtection="1">
      <alignment horizontal="center" vertical="center" wrapText="1"/>
      <protection/>
    </xf>
    <xf numFmtId="0" fontId="4" fillId="0" borderId="0" xfId="0" applyFont="1" applyFill="1" applyAlignment="1" applyProtection="1">
      <alignment/>
      <protection/>
    </xf>
    <xf numFmtId="0" fontId="5"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vertical="center" wrapText="1"/>
      <protection/>
    </xf>
    <xf numFmtId="2" fontId="4" fillId="0" borderId="0" xfId="0" applyNumberFormat="1" applyFont="1" applyFill="1" applyAlignment="1" applyProtection="1">
      <alignment/>
      <protection/>
    </xf>
    <xf numFmtId="0" fontId="5" fillId="0" borderId="0" xfId="0" applyFont="1" applyFill="1" applyBorder="1" applyAlignment="1" applyProtection="1">
      <alignment/>
      <protection/>
    </xf>
    <xf numFmtId="0" fontId="4" fillId="0" borderId="0" xfId="0" applyFont="1" applyFill="1" applyAlignment="1">
      <alignment/>
    </xf>
    <xf numFmtId="175" fontId="0" fillId="7" borderId="6" xfId="0" applyNumberFormat="1" applyFont="1" applyFill="1" applyBorder="1" applyAlignment="1">
      <alignment horizontal="center" vertical="center" wrapText="1"/>
    </xf>
    <xf numFmtId="0" fontId="0" fillId="0" borderId="60" xfId="0" applyFill="1" applyBorder="1" applyAlignment="1">
      <alignment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6" borderId="6" xfId="0" applyFont="1" applyFill="1" applyBorder="1" applyAlignment="1">
      <alignment horizontal="center" vertical="center" wrapText="1"/>
    </xf>
    <xf numFmtId="176" fontId="0" fillId="8" borderId="6" xfId="0" applyNumberFormat="1" applyFont="1" applyFill="1" applyBorder="1" applyAlignment="1">
      <alignment horizontal="center" vertical="center" wrapText="1"/>
    </xf>
    <xf numFmtId="2" fontId="0" fillId="9" borderId="31" xfId="0" applyNumberFormat="1" applyFill="1" applyBorder="1" applyAlignment="1">
      <alignment horizontal="left" vertical="center" wrapText="1"/>
    </xf>
    <xf numFmtId="2" fontId="0" fillId="9" borderId="10" xfId="0" applyNumberForma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87" xfId="0" applyFont="1" applyFill="1" applyBorder="1" applyAlignment="1">
      <alignment horizontal="center" vertical="center" wrapText="1"/>
    </xf>
    <xf numFmtId="0" fontId="2" fillId="8" borderId="88" xfId="0" applyFont="1" applyFill="1" applyBorder="1" applyAlignment="1">
      <alignment horizontal="center" vertical="center" wrapText="1"/>
    </xf>
    <xf numFmtId="2" fontId="0" fillId="9" borderId="9" xfId="0" applyNumberFormat="1" applyFill="1" applyBorder="1" applyAlignment="1">
      <alignment horizontal="left" vertical="center" wrapText="1"/>
    </xf>
    <xf numFmtId="0" fontId="6" fillId="7" borderId="14" xfId="0" applyNumberFormat="1" applyFont="1" applyFill="1" applyBorder="1" applyAlignment="1">
      <alignment horizontal="left" vertical="top" wrapText="1"/>
    </xf>
    <xf numFmtId="0" fontId="6" fillId="7" borderId="0" xfId="0" applyFont="1" applyFill="1" applyBorder="1" applyAlignment="1">
      <alignment horizontal="left" wrapText="1"/>
    </xf>
    <xf numFmtId="0" fontId="6" fillId="7" borderId="14" xfId="0" applyFont="1" applyFill="1" applyBorder="1" applyAlignment="1">
      <alignment horizontal="left" wrapText="1"/>
    </xf>
    <xf numFmtId="0" fontId="1" fillId="0" borderId="0" xfId="0" applyFont="1" applyAlignment="1">
      <alignment horizontal="left" vertical="center"/>
    </xf>
    <xf numFmtId="2" fontId="0" fillId="9" borderId="9" xfId="0" applyNumberFormat="1" applyFill="1" applyBorder="1" applyAlignment="1">
      <alignment horizontal="center" vertical="center" wrapText="1"/>
    </xf>
    <xf numFmtId="2" fontId="0" fillId="9" borderId="31" xfId="0" applyNumberFormat="1" applyFill="1" applyBorder="1" applyAlignment="1">
      <alignment horizontal="center" vertical="center" wrapText="1"/>
    </xf>
    <xf numFmtId="0" fontId="81" fillId="7" borderId="0" xfId="0" applyFont="1" applyFill="1" applyBorder="1" applyAlignment="1">
      <alignment horizontal="center" wrapText="1"/>
    </xf>
    <xf numFmtId="0" fontId="81" fillId="7" borderId="14" xfId="0" applyFont="1" applyFill="1" applyBorder="1" applyAlignment="1">
      <alignment horizontal="center" wrapText="1"/>
    </xf>
    <xf numFmtId="0" fontId="1" fillId="7" borderId="14"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14" xfId="0" applyFont="1" applyFill="1" applyBorder="1" applyAlignment="1">
      <alignment horizontal="left" vertical="top" wrapText="1"/>
    </xf>
    <xf numFmtId="0" fontId="6" fillId="7" borderId="0" xfId="0" applyNumberFormat="1" applyFont="1" applyFill="1" applyBorder="1" applyAlignment="1">
      <alignment horizontal="left" vertical="top" wrapText="1"/>
    </xf>
    <xf numFmtId="0" fontId="0" fillId="7" borderId="0" xfId="0" applyFill="1" applyBorder="1" applyAlignment="1">
      <alignment/>
    </xf>
    <xf numFmtId="0" fontId="0" fillId="7" borderId="14" xfId="0" applyFill="1" applyBorder="1" applyAlignment="1">
      <alignment/>
    </xf>
    <xf numFmtId="0" fontId="0" fillId="7" borderId="0" xfId="0" applyFill="1" applyBorder="1" applyAlignment="1">
      <alignment horizontal="left" vertical="top" wrapText="1"/>
    </xf>
    <xf numFmtId="0" fontId="0" fillId="7" borderId="0" xfId="0" applyFill="1" applyBorder="1" applyAlignment="1">
      <alignment wrapText="1"/>
    </xf>
    <xf numFmtId="0" fontId="1" fillId="7" borderId="0" xfId="0" applyFont="1" applyFill="1" applyBorder="1" applyAlignment="1">
      <alignment wrapText="1"/>
    </xf>
    <xf numFmtId="0" fontId="29" fillId="0" borderId="12" xfId="0" applyFont="1" applyBorder="1" applyAlignment="1">
      <alignment/>
    </xf>
    <xf numFmtId="0" fontId="67" fillId="7" borderId="0" xfId="0" applyFont="1" applyFill="1" applyBorder="1" applyAlignment="1">
      <alignment horizontal="left" vertical="center" wrapText="1"/>
    </xf>
    <xf numFmtId="0" fontId="65" fillId="7" borderId="0" xfId="0" applyFont="1" applyFill="1" applyBorder="1" applyAlignment="1">
      <alignment horizontal="left" vertical="center" wrapText="1"/>
    </xf>
    <xf numFmtId="0" fontId="65" fillId="0" borderId="0" xfId="0" applyFont="1" applyAlignment="1">
      <alignment horizontal="left" vertical="center"/>
    </xf>
    <xf numFmtId="0" fontId="65" fillId="0" borderId="14" xfId="0" applyFont="1" applyBorder="1" applyAlignment="1">
      <alignment horizontal="left" vertical="center"/>
    </xf>
    <xf numFmtId="0" fontId="7" fillId="7" borderId="0" xfId="0" applyFont="1" applyFill="1" applyBorder="1" applyAlignment="1">
      <alignment horizontal="left" vertical="top" wrapText="1"/>
    </xf>
    <xf numFmtId="0" fontId="1" fillId="7" borderId="0" xfId="0" applyFont="1" applyFill="1" applyBorder="1" applyAlignment="1">
      <alignment horizontal="left" vertical="top" wrapText="1"/>
    </xf>
    <xf numFmtId="0" fontId="0" fillId="0" borderId="0" xfId="0" applyAlignment="1">
      <alignment horizontal="center"/>
    </xf>
    <xf numFmtId="0" fontId="65" fillId="0" borderId="0" xfId="0" applyFont="1" applyAlignment="1">
      <alignment horizontal="center" vertical="center" wrapText="1"/>
    </xf>
    <xf numFmtId="0" fontId="28" fillId="7" borderId="11" xfId="0" applyFont="1" applyFill="1" applyBorder="1" applyAlignment="1">
      <alignment horizontal="center" vertical="center" wrapText="1"/>
    </xf>
    <xf numFmtId="0" fontId="29" fillId="0" borderId="5" xfId="0" applyFont="1" applyBorder="1" applyAlignment="1">
      <alignment/>
    </xf>
    <xf numFmtId="2" fontId="0" fillId="9" borderId="10" xfId="0" applyNumberFormat="1" applyFill="1" applyBorder="1" applyAlignment="1">
      <alignment horizontal="left" vertical="center" wrapText="1"/>
    </xf>
    <xf numFmtId="0" fontId="6" fillId="7" borderId="3" xfId="0" applyFont="1" applyFill="1" applyBorder="1" applyAlignment="1">
      <alignment wrapText="1"/>
    </xf>
    <xf numFmtId="0" fontId="26" fillId="7" borderId="11" xfId="0" applyFont="1" applyFill="1" applyBorder="1" applyAlignment="1">
      <alignment wrapText="1"/>
    </xf>
    <xf numFmtId="0" fontId="26" fillId="0" borderId="5" xfId="0" applyFont="1" applyBorder="1" applyAlignment="1">
      <alignment wrapText="1"/>
    </xf>
    <xf numFmtId="0" fontId="6" fillId="7" borderId="31" xfId="0" applyFont="1" applyFill="1" applyBorder="1" applyAlignment="1">
      <alignment horizontal="left" wrapText="1"/>
    </xf>
    <xf numFmtId="0" fontId="82" fillId="0" borderId="0" xfId="0" applyFont="1" applyFill="1" applyAlignment="1">
      <alignment horizontal="left"/>
    </xf>
    <xf numFmtId="0" fontId="0" fillId="0" borderId="0" xfId="0" applyFont="1" applyFill="1" applyBorder="1" applyAlignment="1">
      <alignment/>
    </xf>
    <xf numFmtId="0" fontId="0" fillId="7" borderId="0" xfId="0" applyFill="1" applyBorder="1" applyAlignment="1">
      <alignment horizontal="left" vertical="center"/>
    </xf>
    <xf numFmtId="0" fontId="2" fillId="7" borderId="13"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0" xfId="0" applyFont="1" applyFill="1" applyBorder="1" applyAlignment="1">
      <alignment horizontal="center" vertical="center" wrapText="1"/>
    </xf>
    <xf numFmtId="0" fontId="2" fillId="7" borderId="15" xfId="0" applyFont="1" applyFill="1" applyBorder="1" applyAlignment="1">
      <alignment horizontal="center" vertical="center" wrapText="1"/>
    </xf>
    <xf numFmtId="2" fontId="0" fillId="7" borderId="26" xfId="0" applyNumberFormat="1" applyFill="1" applyBorder="1" applyAlignment="1" applyProtection="1">
      <alignment horizontal="left" vertical="center" wrapText="1"/>
      <protection/>
    </xf>
    <xf numFmtId="2" fontId="0" fillId="7" borderId="0" xfId="0" applyNumberFormat="1" applyFill="1" applyBorder="1" applyAlignment="1" applyProtection="1">
      <alignment horizontal="left" vertical="center" wrapText="1"/>
      <protection/>
    </xf>
    <xf numFmtId="0" fontId="0" fillId="7" borderId="0" xfId="0" applyFill="1" applyBorder="1" applyAlignment="1">
      <alignment horizontal="left" vertical="center" wrapText="1"/>
    </xf>
    <xf numFmtId="4" fontId="2" fillId="0" borderId="9"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7" borderId="22" xfId="0" applyFill="1" applyBorder="1" applyAlignment="1">
      <alignment horizontal="center" vertical="center"/>
    </xf>
    <xf numFmtId="0" fontId="0" fillId="0" borderId="3" xfId="0" applyBorder="1" applyAlignment="1">
      <alignment horizontal="center" vertical="center"/>
    </xf>
    <xf numFmtId="0" fontId="2" fillId="7"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2" fontId="2" fillId="0" borderId="9"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0" fontId="1" fillId="0" borderId="0" xfId="0" applyFont="1" applyFill="1" applyAlignment="1">
      <alignment horizontal="left" vertical="center" wrapText="1"/>
    </xf>
    <xf numFmtId="0" fontId="0" fillId="0" borderId="10" xfId="0" applyBorder="1" applyAlignment="1">
      <alignment horizontal="center" vertical="center"/>
    </xf>
    <xf numFmtId="0" fontId="0" fillId="0" borderId="13" xfId="0" applyFill="1" applyBorder="1" applyAlignment="1">
      <alignment horizontal="left"/>
    </xf>
    <xf numFmtId="0" fontId="0" fillId="0" borderId="15" xfId="0" applyBorder="1" applyAlignment="1">
      <alignment/>
    </xf>
    <xf numFmtId="4" fontId="2" fillId="0" borderId="31" xfId="0" applyNumberFormat="1" applyFont="1" applyFill="1" applyBorder="1" applyAlignment="1">
      <alignment horizontal="center" vertical="center"/>
    </xf>
    <xf numFmtId="0" fontId="82" fillId="0" borderId="0" xfId="0" applyFont="1" applyFill="1" applyAlignment="1">
      <alignment horizontal="center"/>
    </xf>
    <xf numFmtId="4" fontId="2" fillId="8" borderId="9" xfId="0" applyNumberFormat="1"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2" fontId="71" fillId="7" borderId="32" xfId="0" applyNumberFormat="1" applyFont="1" applyFill="1" applyBorder="1" applyAlignment="1">
      <alignment horizontal="center"/>
    </xf>
    <xf numFmtId="2" fontId="6" fillId="7" borderId="0" xfId="0" applyNumberFormat="1" applyFont="1" applyFill="1" applyBorder="1" applyAlignment="1" applyProtection="1">
      <alignment horizontal="right"/>
      <protection locked="0"/>
    </xf>
    <xf numFmtId="2" fontId="6" fillId="7" borderId="15" xfId="0" applyNumberFormat="1" applyFont="1" applyFill="1" applyBorder="1" applyAlignment="1" applyProtection="1">
      <alignment horizontal="right"/>
      <protection locked="0"/>
    </xf>
    <xf numFmtId="2" fontId="6" fillId="7" borderId="0" xfId="0" applyNumberFormat="1" applyFont="1" applyFill="1" applyBorder="1" applyAlignment="1" applyProtection="1">
      <alignment horizontal="center"/>
      <protection locked="0"/>
    </xf>
    <xf numFmtId="2" fontId="6" fillId="7" borderId="15" xfId="0" applyNumberFormat="1" applyFont="1" applyFill="1" applyBorder="1" applyAlignment="1" applyProtection="1">
      <alignment horizontal="center"/>
      <protection locked="0"/>
    </xf>
    <xf numFmtId="0" fontId="2" fillId="0" borderId="0" xfId="0" applyFont="1" applyAlignment="1">
      <alignment horizontal="right"/>
    </xf>
    <xf numFmtId="0" fontId="2" fillId="0" borderId="15" xfId="0" applyFont="1" applyBorder="1" applyAlignment="1">
      <alignment horizontal="right"/>
    </xf>
    <xf numFmtId="0" fontId="82" fillId="0" borderId="0" xfId="0" applyFont="1" applyFill="1" applyAlignment="1">
      <alignment/>
    </xf>
    <xf numFmtId="0" fontId="0" fillId="0" borderId="11" xfId="0" applyFill="1" applyBorder="1" applyAlignment="1">
      <alignment horizontal="left" vertical="center" wrapText="1"/>
    </xf>
    <xf numFmtId="0" fontId="0" fillId="0" borderId="5" xfId="0" applyFill="1" applyBorder="1" applyAlignment="1">
      <alignment horizontal="left" vertical="center" wrapText="1"/>
    </xf>
    <xf numFmtId="0" fontId="0" fillId="0" borderId="12"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6" xfId="0" applyFill="1" applyBorder="1" applyAlignment="1">
      <alignment horizontal="left" vertical="center" wrapText="1"/>
    </xf>
    <xf numFmtId="0" fontId="2" fillId="0" borderId="89"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3" xfId="0" applyFont="1" applyBorder="1" applyAlignment="1">
      <alignment horizontal="center" vertical="center" wrapText="1"/>
    </xf>
    <xf numFmtId="4" fontId="2" fillId="0" borderId="6" xfId="0" applyNumberFormat="1" applyFont="1" applyFill="1" applyBorder="1" applyAlignment="1">
      <alignment horizontal="center" vertical="center"/>
    </xf>
    <xf numFmtId="0" fontId="0" fillId="0" borderId="6" xfId="0" applyBorder="1" applyAlignment="1">
      <alignment/>
    </xf>
    <xf numFmtId="0" fontId="0" fillId="0" borderId="0" xfId="0" applyFill="1" applyBorder="1" applyAlignment="1">
      <alignment horizontal="left"/>
    </xf>
    <xf numFmtId="0" fontId="17" fillId="7" borderId="0"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47" fillId="6" borderId="6" xfId="0" applyFont="1" applyFill="1" applyBorder="1" applyAlignment="1" applyProtection="1">
      <alignment horizontal="center"/>
      <protection/>
    </xf>
    <xf numFmtId="4" fontId="47" fillId="6" borderId="7"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94" xfId="0" applyBorder="1" applyAlignment="1">
      <alignment horizontal="center" vertical="center" wrapText="1"/>
    </xf>
    <xf numFmtId="0" fontId="47" fillId="6" borderId="7" xfId="0" applyFont="1" applyFill="1" applyBorder="1" applyAlignment="1">
      <alignment horizontal="center" vertical="center" wrapText="1"/>
    </xf>
    <xf numFmtId="0" fontId="47" fillId="6" borderId="94"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xf>
    <xf numFmtId="0" fontId="68" fillId="7" borderId="0" xfId="0" applyFont="1" applyFill="1" applyBorder="1" applyAlignment="1" applyProtection="1">
      <alignment horizontal="center" textRotation="90"/>
      <protection/>
    </xf>
    <xf numFmtId="0" fontId="0" fillId="0" borderId="0" xfId="0" applyAlignment="1">
      <alignment horizontal="center" textRotation="90"/>
    </xf>
    <xf numFmtId="0" fontId="0" fillId="0" borderId="13" xfId="0" applyFill="1" applyBorder="1" applyAlignment="1">
      <alignment wrapText="1"/>
    </xf>
    <xf numFmtId="0" fontId="0" fillId="0" borderId="15" xfId="0" applyFill="1" applyBorder="1" applyAlignment="1">
      <alignment wrapText="1"/>
    </xf>
    <xf numFmtId="0" fontId="0" fillId="0" borderId="13" xfId="0" applyFill="1" applyBorder="1" applyAlignment="1">
      <alignment vertical="center" wrapText="1"/>
    </xf>
    <xf numFmtId="0" fontId="0" fillId="0" borderId="15" xfId="0" applyFill="1" applyBorder="1" applyAlignment="1">
      <alignment vertical="center" wrapText="1"/>
    </xf>
    <xf numFmtId="0" fontId="47" fillId="6" borderId="7" xfId="0" applyFont="1" applyFill="1" applyBorder="1" applyAlignment="1">
      <alignment horizontal="center" vertical="center"/>
    </xf>
    <xf numFmtId="0" fontId="47" fillId="6" borderId="8"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47" fillId="6" borderId="7" xfId="0" applyFont="1" applyFill="1" applyBorder="1" applyAlignment="1" applyProtection="1">
      <alignment horizontal="center" vertical="center"/>
      <protection/>
    </xf>
    <xf numFmtId="0" fontId="47" fillId="6" borderId="20" xfId="0" applyFont="1" applyFill="1" applyBorder="1" applyAlignment="1" applyProtection="1">
      <alignment horizontal="center" vertical="center"/>
      <protection/>
    </xf>
    <xf numFmtId="0" fontId="11" fillId="6" borderId="20" xfId="0" applyFont="1" applyFill="1" applyBorder="1" applyAlignment="1" applyProtection="1">
      <alignment horizontal="center" vertical="center"/>
      <protection/>
    </xf>
    <xf numFmtId="0" fontId="0" fillId="0" borderId="0" xfId="0" applyAlignment="1">
      <alignment vertical="center"/>
    </xf>
    <xf numFmtId="2" fontId="0" fillId="7" borderId="0" xfId="0" applyNumberFormat="1" applyFill="1" applyBorder="1" applyAlignment="1" applyProtection="1">
      <alignment horizontal="left" vertical="center"/>
      <protection/>
    </xf>
    <xf numFmtId="0" fontId="49" fillId="12" borderId="9" xfId="0" applyFont="1" applyFill="1" applyBorder="1" applyAlignment="1" applyProtection="1">
      <alignment horizontal="center"/>
      <protection/>
    </xf>
    <xf numFmtId="0" fontId="0" fillId="0" borderId="10" xfId="0" applyBorder="1" applyAlignment="1">
      <alignment horizontal="center"/>
    </xf>
    <xf numFmtId="0" fontId="57" fillId="12" borderId="0" xfId="0" applyFont="1" applyFill="1" applyBorder="1" applyAlignment="1" applyProtection="1">
      <alignment horizontal="center" vertical="top"/>
      <protection/>
    </xf>
    <xf numFmtId="0" fontId="57" fillId="12" borderId="15" xfId="0" applyFont="1" applyFill="1" applyBorder="1" applyAlignment="1" applyProtection="1">
      <alignment horizontal="center" vertical="top"/>
      <protection/>
    </xf>
    <xf numFmtId="0" fontId="0" fillId="0" borderId="0" xfId="0" applyAlignment="1">
      <alignment/>
    </xf>
    <xf numFmtId="0" fontId="17" fillId="7" borderId="13"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0" fillId="0" borderId="0" xfId="0" applyAlignment="1">
      <alignment horizontal="left" vertical="center" wrapText="1"/>
    </xf>
    <xf numFmtId="0" fontId="6" fillId="7" borderId="0" xfId="0" applyFont="1" applyFill="1"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4" fontId="17" fillId="8" borderId="9" xfId="0" applyNumberFormat="1" applyFont="1" applyFill="1" applyBorder="1" applyAlignment="1">
      <alignment horizontal="center"/>
    </xf>
    <xf numFmtId="4" fontId="49" fillId="4" borderId="34" xfId="0" applyNumberFormat="1" applyFont="1" applyFill="1" applyBorder="1" applyAlignment="1">
      <alignment horizontal="center"/>
    </xf>
    <xf numFmtId="4" fontId="49" fillId="4" borderId="3" xfId="0" applyNumberFormat="1" applyFont="1" applyFill="1" applyBorder="1" applyAlignment="1">
      <alignment horizontal="center"/>
    </xf>
    <xf numFmtId="0" fontId="47" fillId="6" borderId="38" xfId="0" applyFont="1" applyFill="1" applyBorder="1" applyAlignment="1" applyProtection="1">
      <alignment horizontal="center" vertical="center"/>
      <protection/>
    </xf>
    <xf numFmtId="0" fontId="47" fillId="6" borderId="42" xfId="0" applyFont="1" applyFill="1" applyBorder="1" applyAlignment="1" applyProtection="1">
      <alignment horizontal="center" vertical="center"/>
      <protection/>
    </xf>
    <xf numFmtId="0" fontId="47" fillId="6" borderId="21" xfId="0" applyFont="1" applyFill="1" applyBorder="1" applyAlignment="1" applyProtection="1">
      <alignment horizontal="center" vertical="center"/>
      <protection/>
    </xf>
    <xf numFmtId="0" fontId="47" fillId="6" borderId="15" xfId="0" applyFont="1" applyFill="1" applyBorder="1" applyAlignment="1" applyProtection="1">
      <alignment horizontal="center" vertical="center"/>
      <protection/>
    </xf>
    <xf numFmtId="0" fontId="11" fillId="6" borderId="7" xfId="0" applyFont="1" applyFill="1" applyBorder="1" applyAlignment="1" applyProtection="1">
      <alignment horizontal="center" vertical="center" wrapText="1"/>
      <protection/>
    </xf>
    <xf numFmtId="0" fontId="11" fillId="6" borderId="20" xfId="0" applyFont="1" applyFill="1" applyBorder="1" applyAlignment="1" applyProtection="1">
      <alignment horizontal="center" vertical="center" wrapText="1"/>
      <protection/>
    </xf>
    <xf numFmtId="0" fontId="0" fillId="0" borderId="13" xfId="0" applyFill="1" applyBorder="1" applyAlignment="1">
      <alignment/>
    </xf>
    <xf numFmtId="0" fontId="0" fillId="0" borderId="0" xfId="0" applyFill="1" applyBorder="1" applyAlignment="1">
      <alignment/>
    </xf>
    <xf numFmtId="0" fontId="47" fillId="7" borderId="26" xfId="0" applyFont="1" applyFill="1" applyBorder="1" applyAlignment="1" applyProtection="1">
      <alignment horizontal="center" vertical="top"/>
      <protection/>
    </xf>
    <xf numFmtId="0" fontId="47" fillId="7" borderId="42" xfId="0" applyFont="1" applyFill="1" applyBorder="1" applyAlignment="1" applyProtection="1">
      <alignment horizontal="center" vertical="top"/>
      <protection/>
    </xf>
    <xf numFmtId="0" fontId="57" fillId="12" borderId="95" xfId="0" applyFont="1" applyFill="1" applyBorder="1" applyAlignment="1" applyProtection="1">
      <alignment horizontal="center" vertical="top"/>
      <protection/>
    </xf>
    <xf numFmtId="0" fontId="57" fillId="12" borderId="96" xfId="0" applyFont="1" applyFill="1" applyBorder="1" applyAlignment="1" applyProtection="1">
      <alignment horizontal="center" vertical="top"/>
      <protection/>
    </xf>
    <xf numFmtId="0" fontId="11" fillId="6" borderId="7" xfId="0" applyFont="1" applyFill="1" applyBorder="1" applyAlignment="1" applyProtection="1">
      <alignment horizontal="center" vertical="center"/>
      <protection/>
    </xf>
    <xf numFmtId="0" fontId="0" fillId="0" borderId="20" xfId="0" applyBorder="1" applyAlignment="1">
      <alignment vertical="center"/>
    </xf>
    <xf numFmtId="0" fontId="2" fillId="0" borderId="0" xfId="0" applyNumberFormat="1" applyFont="1" applyFill="1" applyBorder="1" applyAlignment="1">
      <alignment horizontal="center" vertical="center"/>
    </xf>
    <xf numFmtId="0" fontId="0" fillId="0" borderId="15" xfId="0" applyBorder="1" applyAlignment="1">
      <alignment horizontal="center"/>
    </xf>
    <xf numFmtId="0" fontId="0" fillId="7" borderId="14" xfId="0" applyFont="1" applyFill="1" applyBorder="1" applyAlignment="1">
      <alignment vertical="top" wrapText="1"/>
    </xf>
    <xf numFmtId="0" fontId="0" fillId="0" borderId="14" xfId="0" applyBorder="1" applyAlignment="1">
      <alignment/>
    </xf>
    <xf numFmtId="0" fontId="6" fillId="7" borderId="1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0" fillId="0" borderId="13" xfId="0" applyFill="1" applyBorder="1" applyAlignment="1">
      <alignment horizontal="left" wrapText="1"/>
    </xf>
    <xf numFmtId="0" fontId="0" fillId="0" borderId="15" xfId="0" applyFill="1" applyBorder="1" applyAlignment="1">
      <alignment horizontal="left" wrapText="1"/>
    </xf>
    <xf numFmtId="0" fontId="2" fillId="0" borderId="0" xfId="0" applyNumberFormat="1" applyFont="1" applyFill="1" applyBorder="1" applyAlignment="1">
      <alignment horizontal="right" vertical="center"/>
    </xf>
    <xf numFmtId="0" fontId="0" fillId="0" borderId="0" xfId="0" applyBorder="1" applyAlignment="1">
      <alignment/>
    </xf>
    <xf numFmtId="0" fontId="25" fillId="7" borderId="5" xfId="0" applyFont="1" applyFill="1" applyBorder="1" applyAlignment="1">
      <alignment horizontal="left" vertical="center" wrapText="1"/>
    </xf>
    <xf numFmtId="2" fontId="2" fillId="0" borderId="31"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1" fillId="0" borderId="0" xfId="0" applyNumberFormat="1" applyFont="1" applyBorder="1" applyAlignment="1">
      <alignment wrapText="1"/>
    </xf>
    <xf numFmtId="0" fontId="6" fillId="7" borderId="5" xfId="0" applyFont="1" applyFill="1" applyBorder="1" applyAlignment="1">
      <alignment wrapText="1"/>
    </xf>
    <xf numFmtId="0" fontId="6" fillId="7" borderId="12" xfId="0" applyFont="1" applyFill="1" applyBorder="1" applyAlignment="1">
      <alignment wrapText="1"/>
    </xf>
    <xf numFmtId="0" fontId="40"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65" fillId="7" borderId="97" xfId="0" applyFont="1" applyFill="1" applyBorder="1" applyAlignment="1">
      <alignment vertical="center" wrapText="1"/>
    </xf>
    <xf numFmtId="0" fontId="65" fillId="7" borderId="43" xfId="0" applyFont="1" applyFill="1" applyBorder="1" applyAlignment="1">
      <alignment vertical="center" wrapText="1"/>
    </xf>
    <xf numFmtId="0" fontId="65" fillId="7" borderId="98" xfId="0" applyFont="1" applyFill="1" applyBorder="1" applyAlignment="1">
      <alignment vertical="center" wrapText="1"/>
    </xf>
    <xf numFmtId="0" fontId="82" fillId="0" borderId="0" xfId="0" applyFont="1" applyFill="1" applyAlignment="1">
      <alignment horizontal="left" vertical="center" wrapText="1"/>
    </xf>
    <xf numFmtId="0" fontId="82" fillId="0" borderId="0" xfId="0" applyFont="1" applyFill="1" applyAlignment="1">
      <alignment horizontal="left" vertical="center"/>
    </xf>
    <xf numFmtId="0" fontId="2" fillId="0" borderId="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5" xfId="0" applyFill="1" applyBorder="1" applyAlignment="1">
      <alignment horizontal="left"/>
    </xf>
    <xf numFmtId="0" fontId="0" fillId="0" borderId="13" xfId="0" applyFill="1" applyBorder="1" applyAlignment="1">
      <alignment horizontal="center"/>
    </xf>
    <xf numFmtId="0" fontId="0" fillId="0" borderId="0" xfId="0" applyFill="1" applyBorder="1" applyAlignment="1">
      <alignment horizontal="center"/>
    </xf>
    <xf numFmtId="0" fontId="0" fillId="7" borderId="13" xfId="0" applyFill="1" applyBorder="1" applyAlignment="1">
      <alignment horizontal="center" vertical="center"/>
    </xf>
    <xf numFmtId="0" fontId="0" fillId="7" borderId="15" xfId="0" applyFill="1" applyBorder="1" applyAlignment="1">
      <alignment horizontal="center" vertical="center"/>
    </xf>
    <xf numFmtId="0" fontId="0" fillId="7" borderId="13" xfId="0" applyFont="1" applyFill="1" applyBorder="1" applyAlignment="1">
      <alignment horizontal="center"/>
    </xf>
    <xf numFmtId="0" fontId="0" fillId="7" borderId="15" xfId="0" applyFont="1" applyFill="1" applyBorder="1" applyAlignment="1">
      <alignment horizontal="center"/>
    </xf>
    <xf numFmtId="0" fontId="1" fillId="0" borderId="6" xfId="0" applyNumberFormat="1" applyFont="1" applyFill="1" applyBorder="1" applyAlignment="1">
      <alignment horizontal="left" vertical="center" wrapText="1"/>
    </xf>
    <xf numFmtId="0" fontId="40"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xf>
    <xf numFmtId="0" fontId="0" fillId="0" borderId="0" xfId="0" applyFill="1" applyAlignment="1">
      <alignment/>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2" fillId="7" borderId="0" xfId="0" applyFont="1" applyFill="1" applyBorder="1" applyAlignment="1">
      <alignment wrapText="1"/>
    </xf>
    <xf numFmtId="0" fontId="6" fillId="7" borderId="28" xfId="0" applyFont="1" applyFill="1" applyBorder="1" applyAlignment="1">
      <alignment vertical="center" wrapText="1"/>
    </xf>
    <xf numFmtId="0" fontId="1" fillId="7" borderId="28" xfId="0" applyFont="1" applyFill="1" applyBorder="1" applyAlignment="1">
      <alignment vertical="center"/>
    </xf>
    <xf numFmtId="0" fontId="82" fillId="0" borderId="0" xfId="0" applyFont="1" applyFill="1" applyAlignment="1">
      <alignment horizontal="center" vertical="center" wrapText="1"/>
    </xf>
    <xf numFmtId="0" fontId="2" fillId="0" borderId="99" xfId="0" applyFont="1" applyFill="1" applyBorder="1" applyAlignment="1">
      <alignment horizontal="center"/>
    </xf>
    <xf numFmtId="0" fontId="2" fillId="0" borderId="100" xfId="0" applyFont="1" applyFill="1" applyBorder="1" applyAlignment="1">
      <alignment horizontal="center"/>
    </xf>
    <xf numFmtId="0" fontId="2" fillId="0" borderId="101" xfId="0" applyFont="1" applyFill="1" applyBorder="1" applyAlignment="1">
      <alignment horizontal="center"/>
    </xf>
    <xf numFmtId="0" fontId="2" fillId="0" borderId="0" xfId="0" applyFont="1" applyFill="1" applyBorder="1" applyAlignment="1">
      <alignment horizontal="center" vertical="center"/>
    </xf>
    <xf numFmtId="0" fontId="0" fillId="0" borderId="15" xfId="0" applyBorder="1" applyAlignment="1">
      <alignment/>
    </xf>
    <xf numFmtId="0" fontId="0" fillId="7" borderId="0" xfId="0" applyFont="1" applyFill="1" applyBorder="1" applyAlignment="1">
      <alignment horizontal="left" wrapText="1"/>
    </xf>
    <xf numFmtId="0" fontId="0" fillId="0" borderId="0" xfId="0" applyFont="1" applyAlignment="1">
      <alignment horizontal="left"/>
    </xf>
    <xf numFmtId="0" fontId="2" fillId="0" borderId="102" xfId="0" applyFont="1" applyFill="1" applyBorder="1" applyAlignment="1">
      <alignment horizontal="center"/>
    </xf>
    <xf numFmtId="0" fontId="2" fillId="0" borderId="103" xfId="0" applyFont="1" applyFill="1" applyBorder="1" applyAlignment="1">
      <alignment horizontal="center"/>
    </xf>
    <xf numFmtId="0" fontId="2" fillId="0" borderId="104" xfId="0" applyFont="1" applyFill="1" applyBorder="1" applyAlignment="1">
      <alignment horizontal="center"/>
    </xf>
    <xf numFmtId="0" fontId="12" fillId="0" borderId="56" xfId="0" applyFont="1" applyFill="1"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9" xfId="0" applyFont="1" applyFill="1" applyBorder="1" applyAlignment="1">
      <alignment vertical="center" wrapText="1"/>
    </xf>
    <xf numFmtId="0" fontId="0" fillId="0" borderId="31" xfId="0" applyFont="1" applyFill="1" applyBorder="1" applyAlignment="1">
      <alignment vertical="center" wrapText="1"/>
    </xf>
    <xf numFmtId="0" fontId="0" fillId="0" borderId="10" xfId="0" applyFont="1" applyFill="1" applyBorder="1" applyAlignment="1">
      <alignment vertical="center" wrapText="1"/>
    </xf>
    <xf numFmtId="0" fontId="1" fillId="0" borderId="18" xfId="0" applyFont="1" applyFill="1" applyBorder="1" applyAlignment="1">
      <alignment horizontal="center" vertical="center" wrapText="1"/>
    </xf>
    <xf numFmtId="0" fontId="2" fillId="0" borderId="9" xfId="0" applyNumberFormat="1" applyFont="1" applyFill="1" applyBorder="1" applyAlignment="1">
      <alignment horizontal="right" vertical="center"/>
    </xf>
    <xf numFmtId="0" fontId="0" fillId="0" borderId="31" xfId="0" applyBorder="1" applyAlignment="1">
      <alignment/>
    </xf>
    <xf numFmtId="0" fontId="0" fillId="0" borderId="10" xfId="0" applyBorder="1" applyAlignment="1">
      <alignment/>
    </xf>
    <xf numFmtId="0" fontId="24" fillId="7" borderId="0" xfId="0" applyFont="1" applyFill="1" applyBorder="1" applyAlignment="1">
      <alignment vertical="center" wrapText="1"/>
    </xf>
    <xf numFmtId="0" fontId="66" fillId="0" borderId="0" xfId="0" applyFont="1" applyBorder="1" applyAlignment="1">
      <alignment vertical="center" wrapText="1"/>
    </xf>
    <xf numFmtId="0" fontId="2" fillId="0" borderId="9" xfId="0" applyFont="1" applyBorder="1" applyAlignment="1">
      <alignment horizontal="right" vertical="center"/>
    </xf>
    <xf numFmtId="0" fontId="0" fillId="0" borderId="31" xfId="0" applyBorder="1" applyAlignment="1">
      <alignment horizontal="right" vertical="center"/>
    </xf>
    <xf numFmtId="0" fontId="0" fillId="0" borderId="10" xfId="0" applyBorder="1" applyAlignment="1">
      <alignment horizontal="right" vertical="center"/>
    </xf>
    <xf numFmtId="0" fontId="84" fillId="0" borderId="0" xfId="0" applyFont="1" applyFill="1" applyBorder="1" applyAlignment="1">
      <alignment horizontal="center" vertical="center" wrapText="1"/>
    </xf>
    <xf numFmtId="0" fontId="67" fillId="0" borderId="17" xfId="0" applyFont="1" applyFill="1" applyBorder="1" applyAlignment="1">
      <alignment vertical="top" wrapText="1"/>
    </xf>
    <xf numFmtId="0" fontId="67" fillId="0" borderId="18" xfId="0" applyFont="1" applyFill="1" applyBorder="1" applyAlignment="1">
      <alignment vertical="top" wrapText="1"/>
    </xf>
    <xf numFmtId="0" fontId="67" fillId="0" borderId="16" xfId="0" applyFont="1" applyFill="1" applyBorder="1" applyAlignment="1">
      <alignment vertical="top" wrapText="1"/>
    </xf>
    <xf numFmtId="0" fontId="67" fillId="0" borderId="11" xfId="0" applyFont="1" applyFill="1" applyBorder="1" applyAlignment="1">
      <alignment wrapText="1"/>
    </xf>
    <xf numFmtId="0" fontId="67" fillId="0" borderId="5" xfId="0" applyFont="1" applyFill="1" applyBorder="1" applyAlignment="1">
      <alignment wrapText="1"/>
    </xf>
    <xf numFmtId="0" fontId="67" fillId="0" borderId="12" xfId="0" applyFont="1" applyFill="1" applyBorder="1" applyAlignment="1">
      <alignment wrapText="1"/>
    </xf>
    <xf numFmtId="0" fontId="67" fillId="0" borderId="13" xfId="0" applyFont="1" applyFill="1" applyBorder="1" applyAlignment="1">
      <alignment wrapText="1"/>
    </xf>
    <xf numFmtId="0" fontId="67" fillId="0" borderId="0" xfId="0" applyFont="1" applyFill="1" applyBorder="1" applyAlignment="1">
      <alignment wrapText="1"/>
    </xf>
    <xf numFmtId="0" fontId="67" fillId="0" borderId="14" xfId="0" applyFont="1" applyFill="1" applyBorder="1" applyAlignment="1">
      <alignment wrapText="1"/>
    </xf>
    <xf numFmtId="0" fontId="6" fillId="0"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7" borderId="13" xfId="0" applyFont="1" applyFill="1" applyBorder="1" applyAlignment="1">
      <alignment horizontal="left" vertical="center" wrapText="1"/>
    </xf>
    <xf numFmtId="0" fontId="1" fillId="7" borderId="0" xfId="0" applyFont="1" applyFill="1" applyBorder="1" applyAlignment="1">
      <alignment horizontal="left" vertical="center" wrapText="1"/>
    </xf>
    <xf numFmtId="0" fontId="1" fillId="7" borderId="14" xfId="0" applyFont="1" applyFill="1" applyBorder="1" applyAlignment="1">
      <alignment horizontal="left" vertical="center" wrapText="1"/>
    </xf>
    <xf numFmtId="0" fontId="1" fillId="7" borderId="0" xfId="0" applyNumberFormat="1" applyFont="1" applyFill="1" applyBorder="1" applyAlignment="1">
      <alignment horizontal="left" vertical="center" wrapText="1"/>
    </xf>
    <xf numFmtId="0" fontId="1" fillId="7" borderId="14" xfId="0" applyNumberFormat="1" applyFont="1" applyFill="1" applyBorder="1" applyAlignment="1">
      <alignment horizontal="left" vertical="center" wrapText="1"/>
    </xf>
    <xf numFmtId="0" fontId="2" fillId="0" borderId="38" xfId="0" applyNumberFormat="1" applyFont="1" applyFill="1" applyBorder="1" applyAlignment="1">
      <alignment horizontal="right" vertical="center"/>
    </xf>
    <xf numFmtId="0" fontId="0" fillId="0" borderId="26" xfId="0" applyBorder="1" applyAlignment="1">
      <alignment/>
    </xf>
    <xf numFmtId="0" fontId="0" fillId="0" borderId="42" xfId="0" applyBorder="1" applyAlignment="1">
      <alignment/>
    </xf>
    <xf numFmtId="0" fontId="0" fillId="7" borderId="9" xfId="0" applyFill="1" applyBorder="1" applyAlignment="1">
      <alignment horizontal="left" vertical="center" wrapText="1"/>
    </xf>
    <xf numFmtId="0" fontId="0" fillId="7" borderId="31" xfId="0" applyFill="1" applyBorder="1" applyAlignment="1">
      <alignment horizontal="left" vertical="center" wrapText="1"/>
    </xf>
    <xf numFmtId="0" fontId="0" fillId="7" borderId="10" xfId="0"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8" xfId="0" applyFont="1" applyFill="1" applyBorder="1" applyAlignment="1">
      <alignment horizontal="left" vertical="center" wrapText="1"/>
    </xf>
    <xf numFmtId="4" fontId="0" fillId="8" borderId="7" xfId="0" applyNumberFormat="1" applyFill="1" applyBorder="1" applyAlignment="1">
      <alignment horizontal="center" vertical="center"/>
    </xf>
    <xf numFmtId="4" fontId="0" fillId="8" borderId="20" xfId="0" applyNumberFormat="1" applyFill="1" applyBorder="1" applyAlignment="1">
      <alignment horizontal="center" vertical="center"/>
    </xf>
    <xf numFmtId="4" fontId="0" fillId="8" borderId="8" xfId="0" applyNumberFormat="1" applyFill="1" applyBorder="1" applyAlignment="1">
      <alignment horizontal="center" vertical="center"/>
    </xf>
    <xf numFmtId="0" fontId="26" fillId="7" borderId="32" xfId="0" applyFont="1" applyFill="1" applyBorder="1" applyAlignment="1">
      <alignment vertical="center" wrapText="1"/>
    </xf>
    <xf numFmtId="0" fontId="0" fillId="0" borderId="32" xfId="0" applyBorder="1" applyAlignment="1">
      <alignment vertical="center"/>
    </xf>
    <xf numFmtId="0" fontId="26" fillId="7" borderId="5" xfId="0" applyFont="1" applyFill="1" applyBorder="1" applyAlignment="1">
      <alignment vertical="center" wrapText="1"/>
    </xf>
    <xf numFmtId="0" fontId="26" fillId="0" borderId="5" xfId="0" applyFont="1" applyBorder="1" applyAlignment="1">
      <alignment vertical="center"/>
    </xf>
    <xf numFmtId="0" fontId="0" fillId="0" borderId="5" xfId="0" applyBorder="1" applyAlignment="1">
      <alignment vertical="center"/>
    </xf>
    <xf numFmtId="2" fontId="0" fillId="8" borderId="31" xfId="0" applyNumberFormat="1" applyFill="1" applyBorder="1" applyAlignment="1">
      <alignment horizontal="center" vertical="center" wrapText="1"/>
    </xf>
    <xf numFmtId="0" fontId="0" fillId="8" borderId="10" xfId="0" applyFill="1" applyBorder="1" applyAlignment="1">
      <alignment horizontal="center" vertical="center" wrapText="1"/>
    </xf>
    <xf numFmtId="2" fontId="0" fillId="8" borderId="6" xfId="0" applyNumberFormat="1" applyFill="1" applyBorder="1" applyAlignment="1">
      <alignment horizontal="center" vertical="center"/>
    </xf>
    <xf numFmtId="0" fontId="0" fillId="8" borderId="6" xfId="0" applyNumberFormat="1" applyFill="1" applyBorder="1" applyAlignment="1">
      <alignment horizontal="center" vertical="center"/>
    </xf>
    <xf numFmtId="0" fontId="0" fillId="7" borderId="0" xfId="0" applyFill="1" applyBorder="1" applyAlignment="1">
      <alignment horizontal="center" vertical="center"/>
    </xf>
    <xf numFmtId="0" fontId="2" fillId="0" borderId="0" xfId="0" applyFont="1" applyFill="1" applyAlignment="1">
      <alignment horizontal="center"/>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0" xfId="0" applyAlignment="1">
      <alignment horizontal="center" vertical="center" wrapText="1"/>
    </xf>
    <xf numFmtId="0" fontId="0" fillId="0" borderId="93" xfId="0" applyBorder="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4" fontId="6" fillId="0" borderId="0" xfId="0" applyNumberFormat="1" applyFont="1" applyFill="1" applyBorder="1" applyAlignment="1">
      <alignment horizontal="center" vertical="center"/>
    </xf>
  </cellXfs>
  <cellStyles count="58">
    <cellStyle name="Normal" xfId="0"/>
    <cellStyle name="Column heading" xfId="15"/>
    <cellStyle name="Comma0" xfId="16"/>
    <cellStyle name="Corner heading" xfId="17"/>
    <cellStyle name="Currency0" xfId="18"/>
    <cellStyle name="Data" xfId="19"/>
    <cellStyle name="Data no deci" xfId="20"/>
    <cellStyle name="Data Superscript" xfId="21"/>
    <cellStyle name="Data_1-1A-Regular" xfId="22"/>
    <cellStyle name="Data-one deci" xfId="23"/>
    <cellStyle name="Date" xfId="24"/>
    <cellStyle name="Fixed" xfId="25"/>
    <cellStyle name="Heading 1" xfId="26"/>
    <cellStyle name="Heading 2" xfId="27"/>
    <cellStyle name="Hed Side" xfId="28"/>
    <cellStyle name="Hed Side bold" xfId="29"/>
    <cellStyle name="Hed Side Indent" xfId="30"/>
    <cellStyle name="Hed Side Regular" xfId="31"/>
    <cellStyle name="Hed Side_1-1A-Regular" xfId="32"/>
    <cellStyle name="Hed Top" xfId="33"/>
    <cellStyle name="Hed Top - SECTION" xfId="34"/>
    <cellStyle name="Hed Top_3-new4" xfId="35"/>
    <cellStyle name="Hyperlink" xfId="36"/>
    <cellStyle name="Followed Hyperlink" xfId="37"/>
    <cellStyle name="Comma" xfId="38"/>
    <cellStyle name="Comma [0]" xfId="39"/>
    <cellStyle name="Milliers [0]_Annex_comb_guideline_version4-2" xfId="40"/>
    <cellStyle name="Milliers_Annex_comb_guideline_version4-2" xfId="41"/>
    <cellStyle name="Currency" xfId="42"/>
    <cellStyle name="Currency [0]" xfId="43"/>
    <cellStyle name="Monétaire [0]_Annex comb guideline 4-7" xfId="44"/>
    <cellStyle name="Monétaire_Annex_comb_guideline_version4-2" xfId="45"/>
    <cellStyle name="Percent" xfId="46"/>
    <cellStyle name="Reference" xfId="47"/>
    <cellStyle name="Row heading" xfId="48"/>
    <cellStyle name="Source Hed" xfId="49"/>
    <cellStyle name="Source Letter" xfId="50"/>
    <cellStyle name="Source Superscript" xfId="51"/>
    <cellStyle name="Source Text" xfId="52"/>
    <cellStyle name="State" xfId="53"/>
    <cellStyle name="Superscript" xfId="54"/>
    <cellStyle name="Superscript- regular" xfId="55"/>
    <cellStyle name="Superscript_1-1A-Regular" xfId="56"/>
    <cellStyle name="Table Data" xfId="57"/>
    <cellStyle name="Table Head Top" xfId="58"/>
    <cellStyle name="Table Hed Side" xfId="59"/>
    <cellStyle name="Table Title" xfId="60"/>
    <cellStyle name="Title Text" xfId="61"/>
    <cellStyle name="Title Text 1" xfId="62"/>
    <cellStyle name="Title Text 2" xfId="63"/>
    <cellStyle name="Title-1" xfId="64"/>
    <cellStyle name="Title-2" xfId="65"/>
    <cellStyle name="Title-3" xfId="66"/>
    <cellStyle name="Total" xfId="67"/>
    <cellStyle name="Wrap" xfId="68"/>
    <cellStyle name="Wrap Bold" xfId="69"/>
    <cellStyle name="Wrap Title" xfId="70"/>
    <cellStyle name="Wrap_NTS99-~11" xfId="71"/>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abla de contenido'!&#193;rea_de_impresi&#243;n" /><Relationship Id="rId2" Type="http://schemas.openxmlformats.org/officeDocument/2006/relationships/image" Target="../media/image1.png" /><Relationship Id="rId3" Type="http://schemas.openxmlformats.org/officeDocument/2006/relationships/image" Target="../media/image2.emf" /><Relationship Id="rId4" Type="http://schemas.openxmlformats.org/officeDocument/2006/relationships/image" Target="../media/image3.png" /><Relationship Id="rId5" Type="http://schemas.openxmlformats.org/officeDocument/2006/relationships/hyperlink" Target="#'Tabla de contenido'!&#193;rea_de_impresi&#243;n" /><Relationship Id="rId6" Type="http://schemas.openxmlformats.org/officeDocument/2006/relationships/hyperlink" Target="#'Tabla de contenido'!&#193;rea_de_impresi&#243;n" /><Relationship Id="rId7" Type="http://schemas.openxmlformats.org/officeDocument/2006/relationships/image" Target="../media/image4.png" /><Relationship Id="rId8" Type="http://schemas.openxmlformats.org/officeDocument/2006/relationships/hyperlink" Target="#'Tabla de contenido'!&#193;rea_de_impresi&#243;n" /><Relationship Id="rId9" Type="http://schemas.openxmlformats.org/officeDocument/2006/relationships/hyperlink" Target="#'Tabla de contenido'!&#193;rea_de_impresi&#243;n"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57150</xdr:rowOff>
    </xdr:from>
    <xdr:to>
      <xdr:col>8</xdr:col>
      <xdr:colOff>314325</xdr:colOff>
      <xdr:row>18</xdr:row>
      <xdr:rowOff>123825</xdr:rowOff>
    </xdr:to>
    <xdr:grpSp>
      <xdr:nvGrpSpPr>
        <xdr:cNvPr id="1" name="Group 1">
          <a:hlinkClick r:id="rId1"/>
        </xdr:cNvPr>
        <xdr:cNvGrpSpPr>
          <a:grpSpLocks/>
        </xdr:cNvGrpSpPr>
      </xdr:nvGrpSpPr>
      <xdr:grpSpPr>
        <a:xfrm>
          <a:off x="4305300" y="1838325"/>
          <a:ext cx="2105025" cy="1200150"/>
          <a:chOff x="5661" y="1057"/>
          <a:chExt cx="2640" cy="960"/>
        </a:xfrm>
        <a:solidFill>
          <a:srgbClr val="FFFFFF"/>
        </a:solidFill>
      </xdr:grpSpPr>
      <xdr:pic>
        <xdr:nvPicPr>
          <xdr:cNvPr id="2" name="Picture 2"/>
          <xdr:cNvPicPr preferRelativeResize="1">
            <a:picLocks noChangeAspect="1"/>
          </xdr:cNvPicPr>
        </xdr:nvPicPr>
        <xdr:blipFill>
          <a:blip r:embed="rId2"/>
          <a:stretch>
            <a:fillRect/>
          </a:stretch>
        </xdr:blipFill>
        <xdr:spPr>
          <a:xfrm>
            <a:off x="5661" y="1057"/>
            <a:ext cx="1470" cy="960"/>
          </a:xfrm>
          <a:prstGeom prst="rect">
            <a:avLst/>
          </a:prstGeom>
          <a:noFill/>
          <a:ln w="9525" cmpd="sng">
            <a:noFill/>
          </a:ln>
        </xdr:spPr>
      </xdr:pic>
      <xdr:pic>
        <xdr:nvPicPr>
          <xdr:cNvPr id="3" name="Picture 3"/>
          <xdr:cNvPicPr preferRelativeResize="1">
            <a:picLocks noChangeAspect="1"/>
          </xdr:cNvPicPr>
        </xdr:nvPicPr>
        <xdr:blipFill>
          <a:blip r:embed="rId3"/>
          <a:stretch>
            <a:fillRect/>
          </a:stretch>
        </xdr:blipFill>
        <xdr:spPr>
          <a:xfrm>
            <a:off x="6561" y="1597"/>
            <a:ext cx="1740" cy="375"/>
          </a:xfrm>
          <a:prstGeom prst="rect">
            <a:avLst/>
          </a:prstGeom>
          <a:noFill/>
          <a:ln w="9525" cmpd="sng">
            <a:noFill/>
          </a:ln>
        </xdr:spPr>
      </xdr:pic>
    </xdr:grpSp>
    <xdr:clientData/>
  </xdr:twoCellAnchor>
  <xdr:twoCellAnchor>
    <xdr:from>
      <xdr:col>4</xdr:col>
      <xdr:colOff>266700</xdr:colOff>
      <xdr:row>22</xdr:row>
      <xdr:rowOff>9525</xdr:rowOff>
    </xdr:from>
    <xdr:to>
      <xdr:col>9</xdr:col>
      <xdr:colOff>285750</xdr:colOff>
      <xdr:row>26</xdr:row>
      <xdr:rowOff>0</xdr:rowOff>
    </xdr:to>
    <xdr:pic>
      <xdr:nvPicPr>
        <xdr:cNvPr id="4" name="Picture 4">
          <a:hlinkClick r:id="rId6"/>
        </xdr:cNvPr>
        <xdr:cNvPicPr preferRelativeResize="1">
          <a:picLocks noChangeAspect="1"/>
        </xdr:cNvPicPr>
      </xdr:nvPicPr>
      <xdr:blipFill>
        <a:blip r:embed="rId4"/>
        <a:stretch>
          <a:fillRect/>
        </a:stretch>
      </xdr:blipFill>
      <xdr:spPr>
        <a:xfrm>
          <a:off x="3314700" y="3571875"/>
          <a:ext cx="3829050" cy="638175"/>
        </a:xfrm>
        <a:prstGeom prst="rect">
          <a:avLst/>
        </a:prstGeom>
        <a:noFill/>
        <a:ln w="9525" cmpd="sng">
          <a:noFill/>
        </a:ln>
      </xdr:spPr>
    </xdr:pic>
    <xdr:clientData/>
  </xdr:twoCellAnchor>
  <xdr:twoCellAnchor>
    <xdr:from>
      <xdr:col>3</xdr:col>
      <xdr:colOff>295275</xdr:colOff>
      <xdr:row>4</xdr:row>
      <xdr:rowOff>28575</xdr:rowOff>
    </xdr:from>
    <xdr:to>
      <xdr:col>9</xdr:col>
      <xdr:colOff>438150</xdr:colOff>
      <xdr:row>10</xdr:row>
      <xdr:rowOff>66675</xdr:rowOff>
    </xdr:to>
    <xdr:pic>
      <xdr:nvPicPr>
        <xdr:cNvPr id="5" name="Picture 5">
          <a:hlinkClick r:id="rId9"/>
        </xdr:cNvPr>
        <xdr:cNvPicPr preferRelativeResize="1">
          <a:picLocks noChangeAspect="1"/>
        </xdr:cNvPicPr>
      </xdr:nvPicPr>
      <xdr:blipFill>
        <a:blip r:embed="rId7"/>
        <a:stretch>
          <a:fillRect/>
        </a:stretch>
      </xdr:blipFill>
      <xdr:spPr>
        <a:xfrm>
          <a:off x="2581275" y="676275"/>
          <a:ext cx="4714875" cy="1009650"/>
        </a:xfrm>
        <a:prstGeom prst="rect">
          <a:avLst/>
        </a:prstGeom>
        <a:noFill/>
        <a:ln w="9525" cmpd="sng">
          <a:noFill/>
        </a:ln>
      </xdr:spPr>
    </xdr:pic>
    <xdr:clientData/>
  </xdr:twoCellAnchor>
  <xdr:twoCellAnchor>
    <xdr:from>
      <xdr:col>0</xdr:col>
      <xdr:colOff>0</xdr:colOff>
      <xdr:row>30</xdr:row>
      <xdr:rowOff>133350</xdr:rowOff>
    </xdr:from>
    <xdr:to>
      <xdr:col>12</xdr:col>
      <xdr:colOff>752475</xdr:colOff>
      <xdr:row>32</xdr:row>
      <xdr:rowOff>152400</xdr:rowOff>
    </xdr:to>
    <xdr:sp>
      <xdr:nvSpPr>
        <xdr:cNvPr id="6" name="Rectangle 6"/>
        <xdr:cNvSpPr>
          <a:spLocks/>
        </xdr:cNvSpPr>
      </xdr:nvSpPr>
      <xdr:spPr>
        <a:xfrm>
          <a:off x="0" y="4991100"/>
          <a:ext cx="9896475" cy="3429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Developed with the generous support from the US - EPA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39</xdr:row>
      <xdr:rowOff>114300</xdr:rowOff>
    </xdr:from>
    <xdr:to>
      <xdr:col>6</xdr:col>
      <xdr:colOff>209550</xdr:colOff>
      <xdr:row>50</xdr:row>
      <xdr:rowOff>161925</xdr:rowOff>
    </xdr:to>
    <xdr:pic>
      <xdr:nvPicPr>
        <xdr:cNvPr id="1" name="Picture 10"/>
        <xdr:cNvPicPr preferRelativeResize="1">
          <a:picLocks noChangeAspect="1"/>
        </xdr:cNvPicPr>
      </xdr:nvPicPr>
      <xdr:blipFill>
        <a:blip r:embed="rId1"/>
        <a:stretch>
          <a:fillRect/>
        </a:stretch>
      </xdr:blipFill>
      <xdr:spPr>
        <a:xfrm>
          <a:off x="4314825" y="11039475"/>
          <a:ext cx="4276725" cy="2143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LAN~1.ESC\CONFIG~1\TEMP\TEMP\WRI\WRI%20calculation%20tools%20-%20mob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cell r="J196">
            <v>1614.481954110483</v>
          </cell>
        </row>
        <row r="197">
          <cell r="E197">
            <v>5</v>
          </cell>
          <cell r="F197">
            <v>1.8033254000000003</v>
          </cell>
          <cell r="G197">
            <v>1803.3254000000004</v>
          </cell>
          <cell r="H197">
            <v>1.6093</v>
          </cell>
          <cell r="I197">
            <v>1120.5650904119807</v>
          </cell>
          <cell r="J197">
            <v>1291.5855632883865</v>
          </cell>
        </row>
        <row r="198">
          <cell r="E198">
            <v>6</v>
          </cell>
          <cell r="F198">
            <v>1.502771166666667</v>
          </cell>
          <cell r="G198">
            <v>1502.7711666666669</v>
          </cell>
          <cell r="H198">
            <v>1.6093</v>
          </cell>
          <cell r="I198">
            <v>933.8042420099838</v>
          </cell>
          <cell r="J198">
            <v>1076.3213027403222</v>
          </cell>
        </row>
        <row r="199">
          <cell r="E199">
            <v>7</v>
          </cell>
          <cell r="F199">
            <v>1.2880895714285716</v>
          </cell>
          <cell r="G199">
            <v>1288.0895714285716</v>
          </cell>
          <cell r="H199">
            <v>1.6093</v>
          </cell>
          <cell r="I199">
            <v>800.4036360085576</v>
          </cell>
          <cell r="J199">
            <v>922.5611166345617</v>
          </cell>
        </row>
        <row r="200">
          <cell r="E200">
            <v>8</v>
          </cell>
          <cell r="F200">
            <v>1.1270783750000002</v>
          </cell>
          <cell r="G200">
            <v>1127.0783750000003</v>
          </cell>
          <cell r="H200">
            <v>1.6093</v>
          </cell>
          <cell r="I200">
            <v>700.3531815074879</v>
          </cell>
          <cell r="J200">
            <v>807.2409770552415</v>
          </cell>
        </row>
        <row r="201">
          <cell r="E201">
            <v>9</v>
          </cell>
          <cell r="F201">
            <v>1.0018474444444445</v>
          </cell>
          <cell r="G201">
            <v>1001.8474444444445</v>
          </cell>
          <cell r="H201">
            <v>1.6093</v>
          </cell>
          <cell r="I201">
            <v>622.5361613399891</v>
          </cell>
          <cell r="J201">
            <v>717.5475351602146</v>
          </cell>
        </row>
        <row r="202">
          <cell r="E202">
            <v>10</v>
          </cell>
          <cell r="F202">
            <v>0.9016627000000002</v>
          </cell>
          <cell r="G202">
            <v>901.6627000000002</v>
          </cell>
          <cell r="H202">
            <v>1.6093</v>
          </cell>
          <cell r="I202">
            <v>560.2825452059903</v>
          </cell>
          <cell r="J202">
            <v>645.7927816441933</v>
          </cell>
        </row>
        <row r="203">
          <cell r="E203">
            <v>11</v>
          </cell>
          <cell r="F203">
            <v>0.8196933636363638</v>
          </cell>
          <cell r="G203">
            <v>819.6933636363638</v>
          </cell>
          <cell r="H203">
            <v>1.6093</v>
          </cell>
          <cell r="I203">
            <v>509.3477683690821</v>
          </cell>
          <cell r="J203">
            <v>587.0843469492665</v>
          </cell>
        </row>
        <row r="204">
          <cell r="E204">
            <v>12</v>
          </cell>
          <cell r="F204">
            <v>0.7513855833333335</v>
          </cell>
          <cell r="G204">
            <v>751.3855833333334</v>
          </cell>
          <cell r="H204">
            <v>1.6093</v>
          </cell>
          <cell r="I204">
            <v>466.9021210049919</v>
          </cell>
          <cell r="J204">
            <v>538.1606513701611</v>
          </cell>
        </row>
        <row r="205">
          <cell r="E205">
            <v>13</v>
          </cell>
          <cell r="F205">
            <v>0.6935866923076924</v>
          </cell>
          <cell r="G205">
            <v>693.5866923076925</v>
          </cell>
          <cell r="H205">
            <v>1.6093</v>
          </cell>
          <cell r="I205">
            <v>430.9865732353772</v>
          </cell>
          <cell r="J205">
            <v>496.7636781878409</v>
          </cell>
        </row>
        <row r="206">
          <cell r="E206">
            <v>14</v>
          </cell>
          <cell r="F206">
            <v>0.6440447857142858</v>
          </cell>
          <cell r="G206">
            <v>644.0447857142858</v>
          </cell>
          <cell r="H206">
            <v>1.6093</v>
          </cell>
          <cell r="I206">
            <v>400.2018180042788</v>
          </cell>
          <cell r="J206">
            <v>461.28055831728085</v>
          </cell>
        </row>
        <row r="207">
          <cell r="E207">
            <v>15</v>
          </cell>
          <cell r="F207">
            <v>0.6011084666666667</v>
          </cell>
          <cell r="G207">
            <v>601.1084666666667</v>
          </cell>
          <cell r="H207">
            <v>1.6093</v>
          </cell>
          <cell r="I207">
            <v>373.52169680399345</v>
          </cell>
          <cell r="J207">
            <v>430.5285210961287</v>
          </cell>
        </row>
        <row r="208">
          <cell r="E208">
            <v>16</v>
          </cell>
          <cell r="F208">
            <v>0.5635391875000001</v>
          </cell>
          <cell r="G208">
            <v>563.5391875000001</v>
          </cell>
          <cell r="H208">
            <v>1.6093</v>
          </cell>
          <cell r="I208">
            <v>350.17659075374394</v>
          </cell>
          <cell r="J208">
            <v>403.62048852762075</v>
          </cell>
        </row>
        <row r="209">
          <cell r="E209">
            <v>17</v>
          </cell>
          <cell r="F209">
            <v>0.5303898235294119</v>
          </cell>
          <cell r="G209">
            <v>530.3898235294118</v>
          </cell>
          <cell r="H209">
            <v>1.6093</v>
          </cell>
          <cell r="I209">
            <v>329.5779677682296</v>
          </cell>
          <cell r="J209">
            <v>379.8781068495254</v>
          </cell>
        </row>
        <row r="210">
          <cell r="E210">
            <v>18</v>
          </cell>
          <cell r="F210">
            <v>0.5009237222222223</v>
          </cell>
          <cell r="G210">
            <v>500.92372222222224</v>
          </cell>
          <cell r="H210">
            <v>1.6093</v>
          </cell>
          <cell r="I210">
            <v>311.26808066999456</v>
          </cell>
          <cell r="J210">
            <v>358.7737675801073</v>
          </cell>
        </row>
        <row r="211">
          <cell r="E211">
            <v>19</v>
          </cell>
          <cell r="F211">
            <v>0.47455931578947375</v>
          </cell>
          <cell r="G211">
            <v>474.55931578947377</v>
          </cell>
          <cell r="H211">
            <v>1.6093</v>
          </cell>
          <cell r="I211">
            <v>294.88555010841594</v>
          </cell>
          <cell r="J211">
            <v>339.8909377074701</v>
          </cell>
        </row>
        <row r="212">
          <cell r="E212">
            <v>20</v>
          </cell>
          <cell r="F212">
            <v>0.4508313500000001</v>
          </cell>
          <cell r="G212">
            <v>450.8313500000001</v>
          </cell>
          <cell r="H212">
            <v>1.6093</v>
          </cell>
          <cell r="I212">
            <v>280.1412726029952</v>
          </cell>
          <cell r="J212">
            <v>322.89639082209663</v>
          </cell>
        </row>
        <row r="213">
          <cell r="E213">
            <v>21</v>
          </cell>
          <cell r="F213">
            <v>0.42936319047619054</v>
          </cell>
          <cell r="G213">
            <v>429.36319047619054</v>
          </cell>
          <cell r="H213">
            <v>1.6093</v>
          </cell>
          <cell r="I213">
            <v>266.80121200285254</v>
          </cell>
          <cell r="J213">
            <v>307.52037221152057</v>
          </cell>
        </row>
        <row r="214">
          <cell r="E214">
            <v>22</v>
          </cell>
          <cell r="F214">
            <v>0.4098466818181819</v>
          </cell>
          <cell r="G214">
            <v>409.8466818181819</v>
          </cell>
          <cell r="H214">
            <v>1.6093</v>
          </cell>
          <cell r="I214">
            <v>254.67388418454104</v>
          </cell>
          <cell r="J214">
            <v>293.5421734746333</v>
          </cell>
        </row>
        <row r="215">
          <cell r="E215">
            <v>23</v>
          </cell>
          <cell r="F215">
            <v>0.3920272608695653</v>
          </cell>
          <cell r="G215">
            <v>392.0272608695653</v>
          </cell>
          <cell r="H215">
            <v>1.6093</v>
          </cell>
          <cell r="I215">
            <v>243.60110661130014</v>
          </cell>
          <cell r="J215">
            <v>280.779470280084</v>
          </cell>
        </row>
        <row r="216">
          <cell r="E216">
            <v>24</v>
          </cell>
          <cell r="F216">
            <v>0.37569279166666675</v>
          </cell>
          <cell r="G216">
            <v>375.6927916666667</v>
          </cell>
          <cell r="H216">
            <v>1.6093</v>
          </cell>
          <cell r="I216">
            <v>233.45106050249595</v>
          </cell>
          <cell r="J216">
            <v>269.08032568508054</v>
          </cell>
        </row>
        <row r="217">
          <cell r="E217">
            <v>25</v>
          </cell>
          <cell r="F217">
            <v>0.3606650800000001</v>
          </cell>
          <cell r="G217">
            <v>360.6650800000001</v>
          </cell>
          <cell r="H217">
            <v>1.6093</v>
          </cell>
          <cell r="I217">
            <v>224.11301808239614</v>
          </cell>
          <cell r="J217">
            <v>258.3171126576773</v>
          </cell>
        </row>
        <row r="218">
          <cell r="E218">
            <v>26</v>
          </cell>
          <cell r="F218">
            <v>0.3467933461538462</v>
          </cell>
          <cell r="G218">
            <v>346.79334615384624</v>
          </cell>
          <cell r="H218">
            <v>1.6093</v>
          </cell>
          <cell r="I218">
            <v>215.4932866176886</v>
          </cell>
          <cell r="J218">
            <v>248.38183909392046</v>
          </cell>
        </row>
        <row r="219">
          <cell r="E219">
            <v>27</v>
          </cell>
          <cell r="F219">
            <v>0.3339491481481482</v>
          </cell>
          <cell r="G219">
            <v>333.9491481481482</v>
          </cell>
          <cell r="H219">
            <v>1.6093</v>
          </cell>
          <cell r="I219">
            <v>207.5120537799964</v>
          </cell>
          <cell r="J219">
            <v>239.18251172007157</v>
          </cell>
        </row>
        <row r="220">
          <cell r="E220">
            <v>28</v>
          </cell>
          <cell r="F220">
            <v>0.3220223928571429</v>
          </cell>
          <cell r="G220">
            <v>322.0223928571429</v>
          </cell>
          <cell r="H220">
            <v>1.6093</v>
          </cell>
          <cell r="I220">
            <v>200.1009090021394</v>
          </cell>
          <cell r="J220">
            <v>230.64027915864042</v>
          </cell>
        </row>
        <row r="221">
          <cell r="E221">
            <v>29</v>
          </cell>
          <cell r="F221">
            <v>0.31091817241379316</v>
          </cell>
          <cell r="G221">
            <v>310.9181724137932</v>
          </cell>
          <cell r="H221">
            <v>1.6093</v>
          </cell>
          <cell r="I221">
            <v>193.20087765723804</v>
          </cell>
          <cell r="J221">
            <v>222.68716608420456</v>
          </cell>
        </row>
        <row r="222">
          <cell r="E222">
            <v>30</v>
          </cell>
          <cell r="F222">
            <v>0.30055423333333336</v>
          </cell>
          <cell r="G222">
            <v>300.55423333333334</v>
          </cell>
          <cell r="H222">
            <v>1.6093</v>
          </cell>
          <cell r="I222">
            <v>186.76084840199672</v>
          </cell>
          <cell r="J222">
            <v>215.26426054806436</v>
          </cell>
        </row>
        <row r="223">
          <cell r="E223">
            <v>31</v>
          </cell>
          <cell r="F223">
            <v>0.29085893548387104</v>
          </cell>
          <cell r="G223">
            <v>290.85893548387105</v>
          </cell>
          <cell r="H223">
            <v>1.6093</v>
          </cell>
          <cell r="I223">
            <v>180.7363049051582</v>
          </cell>
          <cell r="J223">
            <v>208.32025214328817</v>
          </cell>
        </row>
        <row r="224">
          <cell r="E224">
            <v>32</v>
          </cell>
          <cell r="F224">
            <v>0.28176959375000005</v>
          </cell>
          <cell r="G224">
            <v>281.76959375000007</v>
          </cell>
          <cell r="H224">
            <v>1.6093</v>
          </cell>
          <cell r="I224">
            <v>175.08829537687197</v>
          </cell>
          <cell r="J224">
            <v>201.81024426381038</v>
          </cell>
        </row>
        <row r="225">
          <cell r="E225">
            <v>33</v>
          </cell>
          <cell r="F225">
            <v>0.27323112121212123</v>
          </cell>
          <cell r="G225">
            <v>273.23112121212125</v>
          </cell>
          <cell r="H225">
            <v>1.6093</v>
          </cell>
          <cell r="I225">
            <v>169.78258945636068</v>
          </cell>
          <cell r="J225">
            <v>195.69478231642216</v>
          </cell>
        </row>
        <row r="226">
          <cell r="E226">
            <v>34</v>
          </cell>
          <cell r="F226">
            <v>0.26519491176470594</v>
          </cell>
          <cell r="G226">
            <v>265.1949117647059</v>
          </cell>
          <cell r="H226">
            <v>1.6093</v>
          </cell>
          <cell r="I226">
            <v>164.7889838841148</v>
          </cell>
          <cell r="J226">
            <v>189.9390534247627</v>
          </cell>
        </row>
        <row r="227">
          <cell r="E227">
            <v>35</v>
          </cell>
          <cell r="F227">
            <v>0.25761791428571434</v>
          </cell>
          <cell r="G227">
            <v>257.61791428571433</v>
          </cell>
          <cell r="H227">
            <v>1.6093</v>
          </cell>
          <cell r="I227">
            <v>160.0807272017115</v>
          </cell>
          <cell r="J227">
            <v>184.51222332691233</v>
          </cell>
        </row>
        <row r="228">
          <cell r="E228">
            <v>36</v>
          </cell>
          <cell r="F228">
            <v>0.25046186111111113</v>
          </cell>
          <cell r="G228">
            <v>250.46186111111112</v>
          </cell>
          <cell r="H228">
            <v>1.6093</v>
          </cell>
          <cell r="I228">
            <v>155.63404033499728</v>
          </cell>
          <cell r="J228">
            <v>179.38688379005364</v>
          </cell>
        </row>
        <row r="229">
          <cell r="E229">
            <v>37</v>
          </cell>
          <cell r="F229">
            <v>0.24369262162162167</v>
          </cell>
          <cell r="G229">
            <v>243.69262162162167</v>
          </cell>
          <cell r="H229">
            <v>1.6093</v>
          </cell>
          <cell r="I229">
            <v>151.4277149205379</v>
          </cell>
          <cell r="J229">
            <v>174.53858963356572</v>
          </cell>
        </row>
        <row r="230">
          <cell r="E230">
            <v>38</v>
          </cell>
          <cell r="F230">
            <v>0.23727965789473687</v>
          </cell>
          <cell r="G230">
            <v>237.27965789473689</v>
          </cell>
          <cell r="H230">
            <v>1.6093</v>
          </cell>
          <cell r="I230">
            <v>147.44277505420797</v>
          </cell>
          <cell r="J230">
            <v>169.94546885373504</v>
          </cell>
        </row>
        <row r="231">
          <cell r="E231">
            <v>39</v>
          </cell>
          <cell r="F231">
            <v>0.23119556410256414</v>
          </cell>
          <cell r="G231">
            <v>231.19556410256413</v>
          </cell>
          <cell r="H231">
            <v>1.6093</v>
          </cell>
          <cell r="I231">
            <v>143.66219107845905</v>
          </cell>
          <cell r="J231">
            <v>165.5878927292803</v>
          </cell>
        </row>
        <row r="232">
          <cell r="E232">
            <v>40</v>
          </cell>
          <cell r="F232">
            <v>0.22541567500000004</v>
          </cell>
          <cell r="G232">
            <v>225.41567500000005</v>
          </cell>
          <cell r="H232">
            <v>1.6093</v>
          </cell>
          <cell r="I232">
            <v>140.0706363014976</v>
          </cell>
          <cell r="J232">
            <v>161.44819541104832</v>
          </cell>
        </row>
        <row r="233">
          <cell r="E233">
            <v>41</v>
          </cell>
          <cell r="F233">
            <v>0.2199177317073171</v>
          </cell>
          <cell r="G233">
            <v>219.9177317073171</v>
          </cell>
          <cell r="H233">
            <v>1.6093</v>
          </cell>
          <cell r="I233">
            <v>136.6542793185342</v>
          </cell>
          <cell r="J233">
            <v>157.51043454736418</v>
          </cell>
        </row>
        <row r="234">
          <cell r="E234">
            <v>42</v>
          </cell>
          <cell r="F234">
            <v>0.21468159523809527</v>
          </cell>
          <cell r="G234">
            <v>214.68159523809527</v>
          </cell>
          <cell r="H234">
            <v>1.6093</v>
          </cell>
          <cell r="I234">
            <v>133.40060600142627</v>
          </cell>
          <cell r="J234">
            <v>153.76018610576028</v>
          </cell>
        </row>
        <row r="235">
          <cell r="E235">
            <v>43</v>
          </cell>
          <cell r="F235">
            <v>0.20968900000000004</v>
          </cell>
          <cell r="G235">
            <v>209.68900000000005</v>
          </cell>
          <cell r="H235">
            <v>1.6093</v>
          </cell>
          <cell r="I235">
            <v>130.2982663269745</v>
          </cell>
          <cell r="J235">
            <v>150.18436782423097</v>
          </cell>
        </row>
        <row r="236">
          <cell r="E236">
            <v>44</v>
          </cell>
          <cell r="F236">
            <v>0.20492334090909095</v>
          </cell>
          <cell r="G236">
            <v>204.92334090909094</v>
          </cell>
          <cell r="H236">
            <v>1.6093</v>
          </cell>
          <cell r="I236">
            <v>127.33694209227052</v>
          </cell>
          <cell r="J236">
            <v>146.77108673731664</v>
          </cell>
        </row>
        <row r="237">
          <cell r="E237">
            <v>45</v>
          </cell>
          <cell r="F237">
            <v>0.20036948888888892</v>
          </cell>
          <cell r="G237">
            <v>200.36948888888892</v>
          </cell>
          <cell r="H237">
            <v>1.6093</v>
          </cell>
          <cell r="I237">
            <v>124.50723226799785</v>
          </cell>
          <cell r="J237">
            <v>143.50950703204293</v>
          </cell>
        </row>
        <row r="238">
          <cell r="E238">
            <v>46</v>
          </cell>
          <cell r="F238">
            <v>0.19601363043478265</v>
          </cell>
          <cell r="G238">
            <v>196.01363043478264</v>
          </cell>
          <cell r="H238">
            <v>1.6093</v>
          </cell>
          <cell r="I238">
            <v>121.80055330565007</v>
          </cell>
          <cell r="J238">
            <v>140.389735140042</v>
          </cell>
        </row>
        <row r="239">
          <cell r="E239">
            <v>47</v>
          </cell>
          <cell r="F239">
            <v>0.1918431276595745</v>
          </cell>
          <cell r="G239">
            <v>191.84312765957452</v>
          </cell>
          <cell r="H239">
            <v>1.6093</v>
          </cell>
          <cell r="I239">
            <v>119.20905217148731</v>
          </cell>
          <cell r="J239">
            <v>137.40271949876455</v>
          </cell>
        </row>
        <row r="240">
          <cell r="E240">
            <v>48</v>
          </cell>
          <cell r="F240">
            <v>0.18784639583333337</v>
          </cell>
          <cell r="G240">
            <v>187.84639583333336</v>
          </cell>
          <cell r="H240">
            <v>1.6093</v>
          </cell>
          <cell r="I240">
            <v>116.72553025124797</v>
          </cell>
          <cell r="J240">
            <v>134.54016284254027</v>
          </cell>
        </row>
        <row r="241">
          <cell r="E241">
            <v>49</v>
          </cell>
          <cell r="F241">
            <v>0.1840127959183674</v>
          </cell>
          <cell r="G241">
            <v>184.0127959183674</v>
          </cell>
          <cell r="H241">
            <v>1.6093</v>
          </cell>
          <cell r="I241">
            <v>114.3433765726511</v>
          </cell>
          <cell r="J241">
            <v>131.79444523350884</v>
          </cell>
        </row>
        <row r="242">
          <cell r="E242">
            <v>50</v>
          </cell>
          <cell r="F242">
            <v>0.18033254000000004</v>
          </cell>
          <cell r="G242">
            <v>180.33254000000005</v>
          </cell>
          <cell r="H242">
            <v>1.6093</v>
          </cell>
          <cell r="I242">
            <v>112.05650904119807</v>
          </cell>
          <cell r="J242">
            <v>129.15855632883864</v>
          </cell>
        </row>
        <row r="243">
          <cell r="E243">
            <v>51</v>
          </cell>
          <cell r="F243">
            <v>0.17679660784313728</v>
          </cell>
          <cell r="G243">
            <v>176.79660784313728</v>
          </cell>
          <cell r="H243">
            <v>1.6093</v>
          </cell>
          <cell r="I243">
            <v>109.85932258940986</v>
          </cell>
          <cell r="J243">
            <v>126.62603561650847</v>
          </cell>
        </row>
        <row r="244">
          <cell r="E244">
            <v>52</v>
          </cell>
          <cell r="F244">
            <v>0.1733966730769231</v>
          </cell>
          <cell r="G244">
            <v>173.39667307692312</v>
          </cell>
          <cell r="H244">
            <v>1.6093</v>
          </cell>
          <cell r="I244">
            <v>107.7466433088443</v>
          </cell>
          <cell r="J244">
            <v>124.19091954696023</v>
          </cell>
        </row>
        <row r="245">
          <cell r="E245">
            <v>53</v>
          </cell>
          <cell r="F245">
            <v>0.17012503773584908</v>
          </cell>
          <cell r="G245">
            <v>170.12503773584908</v>
          </cell>
          <cell r="H245">
            <v>1.6093</v>
          </cell>
          <cell r="I245">
            <v>105.71368777471514</v>
          </cell>
          <cell r="J245">
            <v>121.84769464984777</v>
          </cell>
        </row>
        <row r="246">
          <cell r="E246">
            <v>54</v>
          </cell>
          <cell r="F246">
            <v>0.1669745740740741</v>
          </cell>
          <cell r="G246">
            <v>166.9745740740741</v>
          </cell>
          <cell r="H246">
            <v>1.6093</v>
          </cell>
          <cell r="I246">
            <v>103.7560268899982</v>
          </cell>
          <cell r="J246">
            <v>119.59125586003579</v>
          </cell>
        </row>
        <row r="247">
          <cell r="E247">
            <v>55</v>
          </cell>
          <cell r="F247">
            <v>0.16393867272727275</v>
          </cell>
          <cell r="G247">
            <v>163.93867272727275</v>
          </cell>
          <cell r="H247">
            <v>1.6093</v>
          </cell>
          <cell r="I247">
            <v>101.86955367381641</v>
          </cell>
          <cell r="J247">
            <v>117.41686938985332</v>
          </cell>
        </row>
        <row r="248">
          <cell r="E248">
            <v>56</v>
          </cell>
          <cell r="F248">
            <v>0.16101119642857145</v>
          </cell>
          <cell r="G248">
            <v>161.01119642857145</v>
          </cell>
          <cell r="H248">
            <v>1.6093</v>
          </cell>
          <cell r="I248">
            <v>100.0504545010697</v>
          </cell>
          <cell r="J248">
            <v>115.32013957932021</v>
          </cell>
        </row>
        <row r="249">
          <cell r="E249">
            <v>57</v>
          </cell>
          <cell r="F249">
            <v>0.15818643859649126</v>
          </cell>
          <cell r="G249">
            <v>158.18643859649126</v>
          </cell>
          <cell r="H249">
            <v>1.6093</v>
          </cell>
          <cell r="I249">
            <v>98.29518336947199</v>
          </cell>
          <cell r="J249">
            <v>113.29697923582337</v>
          </cell>
        </row>
        <row r="250">
          <cell r="E250">
            <v>58</v>
          </cell>
          <cell r="F250">
            <v>0.15545908620689658</v>
          </cell>
          <cell r="G250">
            <v>155.4590862068966</v>
          </cell>
          <cell r="H250">
            <v>1.6093</v>
          </cell>
          <cell r="I250">
            <v>96.60043882861902</v>
          </cell>
          <cell r="J250">
            <v>111.34358304210228</v>
          </cell>
        </row>
        <row r="251">
          <cell r="E251">
            <v>59</v>
          </cell>
          <cell r="F251">
            <v>0.152824186440678</v>
          </cell>
          <cell r="G251">
            <v>152.824186440678</v>
          </cell>
          <cell r="H251">
            <v>1.6093</v>
          </cell>
          <cell r="I251">
            <v>94.9631432552526</v>
          </cell>
          <cell r="J251">
            <v>109.45640366850733</v>
          </cell>
        </row>
        <row r="252">
          <cell r="E252">
            <v>60</v>
          </cell>
          <cell r="F252">
            <v>0.15027711666666668</v>
          </cell>
          <cell r="G252">
            <v>150.27711666666667</v>
          </cell>
          <cell r="H252">
            <v>1.6093</v>
          </cell>
          <cell r="I252">
            <v>93.38042420099836</v>
          </cell>
          <cell r="J252">
            <v>107.63213027403218</v>
          </cell>
        </row>
        <row r="253">
          <cell r="E253">
            <v>61</v>
          </cell>
          <cell r="F253">
            <v>0.1478135573770492</v>
          </cell>
          <cell r="G253">
            <v>147.81355737704922</v>
          </cell>
          <cell r="H253">
            <v>1.6093</v>
          </cell>
          <cell r="I253">
            <v>91.84959757475252</v>
          </cell>
          <cell r="J253">
            <v>105.8676691219989</v>
          </cell>
        </row>
        <row r="254">
          <cell r="E254">
            <v>62</v>
          </cell>
          <cell r="F254">
            <v>0.14542946774193552</v>
          </cell>
          <cell r="G254">
            <v>145.42946774193553</v>
          </cell>
          <cell r="H254">
            <v>1.6093</v>
          </cell>
          <cell r="I254">
            <v>90.3681524525791</v>
          </cell>
          <cell r="J254">
            <v>104.16012607164409</v>
          </cell>
        </row>
        <row r="255">
          <cell r="E255">
            <v>63</v>
          </cell>
          <cell r="F255">
            <v>0.14312106349206352</v>
          </cell>
          <cell r="G255">
            <v>143.1210634920635</v>
          </cell>
          <cell r="H255">
            <v>1.6093</v>
          </cell>
          <cell r="I255">
            <v>88.93373733428417</v>
          </cell>
          <cell r="J255">
            <v>102.50679073717353</v>
          </cell>
        </row>
        <row r="256">
          <cell r="E256">
            <v>64</v>
          </cell>
          <cell r="F256">
            <v>0.14088479687500002</v>
          </cell>
          <cell r="G256">
            <v>140.88479687500003</v>
          </cell>
          <cell r="H256">
            <v>1.6093</v>
          </cell>
          <cell r="I256">
            <v>87.54414768843598</v>
          </cell>
          <cell r="J256">
            <v>100.90512213190519</v>
          </cell>
        </row>
        <row r="257">
          <cell r="E257">
            <v>65</v>
          </cell>
          <cell r="F257">
            <v>0.1387173384615385</v>
          </cell>
          <cell r="G257">
            <v>138.7173384615385</v>
          </cell>
          <cell r="H257">
            <v>1.6093</v>
          </cell>
          <cell r="I257">
            <v>86.19731464707544</v>
          </cell>
          <cell r="J257">
            <v>99.3527356375682</v>
          </cell>
        </row>
        <row r="258">
          <cell r="E258">
            <v>66</v>
          </cell>
          <cell r="F258">
            <v>0.13661556060606062</v>
          </cell>
          <cell r="G258">
            <v>136.61556060606063</v>
          </cell>
          <cell r="H258">
            <v>1.6093</v>
          </cell>
          <cell r="I258">
            <v>84.89129472818034</v>
          </cell>
          <cell r="J258">
            <v>97.84739115821108</v>
          </cell>
        </row>
        <row r="259">
          <cell r="E259">
            <v>67</v>
          </cell>
          <cell r="F259">
            <v>0.13457652238805973</v>
          </cell>
          <cell r="G259">
            <v>134.57652238805971</v>
          </cell>
          <cell r="H259">
            <v>1.6093</v>
          </cell>
          <cell r="I259">
            <v>83.624260478506</v>
          </cell>
          <cell r="J259">
            <v>96.3869823349542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7.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M33"/>
  <sheetViews>
    <sheetView tabSelected="1" workbookViewId="0" topLeftCell="A1">
      <selection activeCell="K34" sqref="K34"/>
    </sheetView>
  </sheetViews>
  <sheetFormatPr defaultColWidth="11.421875" defaultRowHeight="12.75"/>
  <sheetData>
    <row r="1" spans="1:13" ht="12.75">
      <c r="A1" s="1100"/>
      <c r="B1" s="1100"/>
      <c r="C1" s="1100"/>
      <c r="D1" s="1100"/>
      <c r="E1" s="1100"/>
      <c r="F1" s="1100"/>
      <c r="G1" s="1100"/>
      <c r="H1" s="1100"/>
      <c r="I1" s="1100"/>
      <c r="J1" s="1100"/>
      <c r="K1" s="1100"/>
      <c r="L1" s="1100"/>
      <c r="M1" s="1100"/>
    </row>
    <row r="2" spans="1:13" ht="12.75">
      <c r="A2" s="1100"/>
      <c r="B2" s="1100"/>
      <c r="C2" s="1100"/>
      <c r="D2" s="1100"/>
      <c r="E2" s="1100"/>
      <c r="F2" s="1100"/>
      <c r="G2" s="1100"/>
      <c r="H2" s="1100"/>
      <c r="I2" s="1100"/>
      <c r="J2" s="1100"/>
      <c r="K2" s="1100"/>
      <c r="L2" s="1100"/>
      <c r="M2" s="1100"/>
    </row>
    <row r="3" spans="1:13" ht="12.75">
      <c r="A3" s="1100"/>
      <c r="B3" s="1100"/>
      <c r="C3" s="1100"/>
      <c r="D3" s="1100"/>
      <c r="E3" s="1100"/>
      <c r="F3" s="1100"/>
      <c r="G3" s="1100"/>
      <c r="H3" s="1100"/>
      <c r="I3" s="1100"/>
      <c r="J3" s="1100"/>
      <c r="K3" s="1100"/>
      <c r="L3" s="1100"/>
      <c r="M3" s="1100"/>
    </row>
    <row r="4" spans="1:13" ht="12.75">
      <c r="A4" s="1100"/>
      <c r="B4" s="1100"/>
      <c r="C4" s="1100"/>
      <c r="D4" s="1100"/>
      <c r="E4" s="1100"/>
      <c r="F4" s="1100"/>
      <c r="G4" s="1100"/>
      <c r="H4" s="1100"/>
      <c r="I4" s="1100"/>
      <c r="J4" s="1100"/>
      <c r="K4" s="1100"/>
      <c r="L4" s="1100"/>
      <c r="M4" s="1100"/>
    </row>
    <row r="5" spans="1:13" ht="12.75">
      <c r="A5" s="1100"/>
      <c r="B5" s="1100"/>
      <c r="C5" s="1100"/>
      <c r="D5" s="1100"/>
      <c r="E5" s="1100"/>
      <c r="F5" s="1100"/>
      <c r="G5" s="1100"/>
      <c r="H5" s="1100"/>
      <c r="I5" s="1100"/>
      <c r="J5" s="1100"/>
      <c r="K5" s="1100"/>
      <c r="L5" s="1100"/>
      <c r="M5" s="1100"/>
    </row>
    <row r="6" spans="1:13" ht="12.75">
      <c r="A6" s="1100"/>
      <c r="B6" s="1100"/>
      <c r="C6" s="1100"/>
      <c r="D6" s="1100"/>
      <c r="E6" s="1100"/>
      <c r="F6" s="1100"/>
      <c r="G6" s="1100"/>
      <c r="H6" s="1100"/>
      <c r="I6" s="1100"/>
      <c r="J6" s="1100"/>
      <c r="K6" s="1100"/>
      <c r="L6" s="1100"/>
      <c r="M6" s="1100"/>
    </row>
    <row r="7" spans="1:13" ht="12.75">
      <c r="A7" s="1100"/>
      <c r="B7" s="1100"/>
      <c r="C7" s="1100"/>
      <c r="D7" s="1100"/>
      <c r="E7" s="1100"/>
      <c r="F7" s="1100"/>
      <c r="G7" s="1100"/>
      <c r="H7" s="1100"/>
      <c r="I7" s="1100"/>
      <c r="J7" s="1100"/>
      <c r="K7" s="1100"/>
      <c r="L7" s="1100"/>
      <c r="M7" s="1100"/>
    </row>
    <row r="8" spans="1:13" ht="12.75">
      <c r="A8" s="1100"/>
      <c r="B8" s="1100"/>
      <c r="C8" s="1100"/>
      <c r="D8" s="1100"/>
      <c r="E8" s="1100"/>
      <c r="F8" s="1100"/>
      <c r="G8" s="1100"/>
      <c r="H8" s="1100"/>
      <c r="I8" s="1100"/>
      <c r="J8" s="1100"/>
      <c r="K8" s="1100"/>
      <c r="L8" s="1100"/>
      <c r="M8" s="1100"/>
    </row>
    <row r="9" spans="1:13" ht="12.75">
      <c r="A9" s="1100"/>
      <c r="B9" s="1100"/>
      <c r="C9" s="1100"/>
      <c r="D9" s="1100"/>
      <c r="E9" s="1100"/>
      <c r="F9" s="1100"/>
      <c r="G9" s="1100"/>
      <c r="H9" s="1100"/>
      <c r="I9" s="1100"/>
      <c r="J9" s="1100"/>
      <c r="K9" s="1100"/>
      <c r="L9" s="1100"/>
      <c r="M9" s="1100"/>
    </row>
    <row r="10" spans="1:13" ht="12.75">
      <c r="A10" s="1100"/>
      <c r="B10" s="1100"/>
      <c r="C10" s="1100"/>
      <c r="D10" s="1100"/>
      <c r="E10" s="1100"/>
      <c r="F10" s="1100"/>
      <c r="G10" s="1100"/>
      <c r="H10" s="1100"/>
      <c r="I10" s="1100"/>
      <c r="J10" s="1100"/>
      <c r="K10" s="1100"/>
      <c r="L10" s="1100"/>
      <c r="M10" s="1100"/>
    </row>
    <row r="11" spans="1:13" ht="12.75">
      <c r="A11" s="1100"/>
      <c r="B11" s="1100"/>
      <c r="C11" s="1100"/>
      <c r="D11" s="1100"/>
      <c r="E11" s="1100"/>
      <c r="F11" s="1100"/>
      <c r="G11" s="1100"/>
      <c r="H11" s="1100"/>
      <c r="I11" s="1100"/>
      <c r="J11" s="1100"/>
      <c r="K11" s="1100"/>
      <c r="L11" s="1100"/>
      <c r="M11" s="1100"/>
    </row>
    <row r="12" spans="1:13" ht="12.75">
      <c r="A12" s="1100"/>
      <c r="B12" s="1100"/>
      <c r="C12" s="1100"/>
      <c r="D12" s="1100"/>
      <c r="E12" s="1100"/>
      <c r="F12" s="1100"/>
      <c r="G12" s="1100"/>
      <c r="H12" s="1100"/>
      <c r="I12" s="1100"/>
      <c r="J12" s="1100"/>
      <c r="K12" s="1100"/>
      <c r="L12" s="1100"/>
      <c r="M12" s="1100"/>
    </row>
    <row r="13" spans="1:13" ht="12.75">
      <c r="A13" s="1100"/>
      <c r="B13" s="1100"/>
      <c r="C13" s="1100"/>
      <c r="D13" s="1100"/>
      <c r="E13" s="1100"/>
      <c r="F13" s="1100"/>
      <c r="G13" s="1100"/>
      <c r="H13" s="1100"/>
      <c r="I13" s="1100"/>
      <c r="J13" s="1100"/>
      <c r="K13" s="1100"/>
      <c r="L13" s="1100"/>
      <c r="M13" s="1100"/>
    </row>
    <row r="14" spans="1:13" ht="12.75">
      <c r="A14" s="1100"/>
      <c r="B14" s="1100"/>
      <c r="C14" s="1100"/>
      <c r="D14" s="1100"/>
      <c r="E14" s="1100"/>
      <c r="F14" s="1100"/>
      <c r="G14" s="1100"/>
      <c r="H14" s="1100"/>
      <c r="I14" s="1100"/>
      <c r="J14" s="1100"/>
      <c r="K14" s="1100"/>
      <c r="L14" s="1100"/>
      <c r="M14" s="1100"/>
    </row>
    <row r="15" spans="1:13" ht="12.75">
      <c r="A15" s="1100"/>
      <c r="B15" s="1100"/>
      <c r="C15" s="1100"/>
      <c r="D15" s="1100"/>
      <c r="E15" s="1100"/>
      <c r="F15" s="1100"/>
      <c r="G15" s="1100"/>
      <c r="H15" s="1100"/>
      <c r="I15" s="1100"/>
      <c r="J15" s="1100"/>
      <c r="K15" s="1100"/>
      <c r="L15" s="1100"/>
      <c r="M15" s="1100"/>
    </row>
    <row r="16" spans="1:13" ht="12.75">
      <c r="A16" s="1100"/>
      <c r="B16" s="1100"/>
      <c r="C16" s="1100"/>
      <c r="D16" s="1100"/>
      <c r="E16" s="1100"/>
      <c r="F16" s="1100"/>
      <c r="G16" s="1100"/>
      <c r="H16" s="1100"/>
      <c r="I16" s="1100"/>
      <c r="J16" s="1100"/>
      <c r="K16" s="1100"/>
      <c r="L16" s="1100"/>
      <c r="M16" s="1100"/>
    </row>
    <row r="17" spans="1:13" ht="12.75">
      <c r="A17" s="1100"/>
      <c r="B17" s="1100"/>
      <c r="C17" s="1100"/>
      <c r="D17" s="1100"/>
      <c r="E17" s="1100"/>
      <c r="F17" s="1100"/>
      <c r="G17" s="1100"/>
      <c r="H17" s="1100"/>
      <c r="I17" s="1100"/>
      <c r="J17" s="1100"/>
      <c r="K17" s="1100"/>
      <c r="L17" s="1100"/>
      <c r="M17" s="1100"/>
    </row>
    <row r="18" spans="1:13" ht="12.75">
      <c r="A18" s="1100"/>
      <c r="B18" s="1100"/>
      <c r="C18" s="1100"/>
      <c r="D18" s="1100"/>
      <c r="E18" s="1100"/>
      <c r="F18" s="1100"/>
      <c r="G18" s="1100"/>
      <c r="H18" s="1100"/>
      <c r="I18" s="1100"/>
      <c r="J18" s="1100"/>
      <c r="K18" s="1100"/>
      <c r="L18" s="1100"/>
      <c r="M18" s="1100"/>
    </row>
    <row r="19" spans="1:13" ht="12.75">
      <c r="A19" s="1100"/>
      <c r="B19" s="1100"/>
      <c r="C19" s="1100"/>
      <c r="D19" s="1100"/>
      <c r="E19" s="1100"/>
      <c r="F19" s="1100"/>
      <c r="G19" s="1100"/>
      <c r="H19" s="1100"/>
      <c r="I19" s="1100"/>
      <c r="J19" s="1100"/>
      <c r="K19" s="1100"/>
      <c r="L19" s="1100"/>
      <c r="M19" s="1100"/>
    </row>
    <row r="20" spans="1:13" ht="12.75">
      <c r="A20" s="1100"/>
      <c r="B20" s="1100"/>
      <c r="C20" s="1100"/>
      <c r="D20" s="1100"/>
      <c r="E20" s="1100"/>
      <c r="F20" s="1100"/>
      <c r="G20" s="1100"/>
      <c r="H20" s="1100"/>
      <c r="I20" s="1100"/>
      <c r="J20" s="1100"/>
      <c r="K20" s="1100"/>
      <c r="L20" s="1100"/>
      <c r="M20" s="1100"/>
    </row>
    <row r="21" spans="1:13" ht="12.75">
      <c r="A21" s="1100"/>
      <c r="B21" s="1100"/>
      <c r="C21" s="1100"/>
      <c r="D21" s="1100"/>
      <c r="E21" s="1100"/>
      <c r="F21" s="1100"/>
      <c r="G21" s="1100"/>
      <c r="H21" s="1100"/>
      <c r="I21" s="1100"/>
      <c r="J21" s="1100"/>
      <c r="K21" s="1100"/>
      <c r="L21" s="1100"/>
      <c r="M21" s="1100"/>
    </row>
    <row r="22" spans="1:13" ht="12.75">
      <c r="A22" s="1100"/>
      <c r="B22" s="1100"/>
      <c r="C22" s="1100"/>
      <c r="D22" s="1100"/>
      <c r="E22" s="1100"/>
      <c r="F22" s="1100"/>
      <c r="G22" s="1100"/>
      <c r="H22" s="1100"/>
      <c r="I22" s="1100"/>
      <c r="J22" s="1100"/>
      <c r="K22" s="1100"/>
      <c r="L22" s="1100"/>
      <c r="M22" s="1100"/>
    </row>
    <row r="23" spans="1:13" ht="12.75">
      <c r="A23" s="1100"/>
      <c r="B23" s="1100"/>
      <c r="C23" s="1100"/>
      <c r="D23" s="1100"/>
      <c r="E23" s="1100"/>
      <c r="F23" s="1100"/>
      <c r="G23" s="1100"/>
      <c r="H23" s="1100"/>
      <c r="I23" s="1100"/>
      <c r="J23" s="1100"/>
      <c r="K23" s="1100"/>
      <c r="L23" s="1100"/>
      <c r="M23" s="1100"/>
    </row>
    <row r="24" spans="1:13" ht="12.75">
      <c r="A24" s="1100"/>
      <c r="B24" s="1100"/>
      <c r="C24" s="1100"/>
      <c r="D24" s="1100"/>
      <c r="E24" s="1100"/>
      <c r="F24" s="1100"/>
      <c r="G24" s="1100"/>
      <c r="H24" s="1100"/>
      <c r="I24" s="1100"/>
      <c r="J24" s="1100"/>
      <c r="K24" s="1100"/>
      <c r="L24" s="1100"/>
      <c r="M24" s="1100"/>
    </row>
    <row r="25" spans="1:13" ht="12.75">
      <c r="A25" s="1100"/>
      <c r="B25" s="1100"/>
      <c r="C25" s="1100"/>
      <c r="D25" s="1100"/>
      <c r="E25" s="1100"/>
      <c r="F25" s="1100"/>
      <c r="G25" s="1100"/>
      <c r="H25" s="1100"/>
      <c r="I25" s="1100"/>
      <c r="J25" s="1100"/>
      <c r="K25" s="1100"/>
      <c r="L25" s="1100"/>
      <c r="M25" s="1100"/>
    </row>
    <row r="26" spans="1:13" ht="12.75">
      <c r="A26" s="1100"/>
      <c r="B26" s="1100"/>
      <c r="C26" s="1100"/>
      <c r="D26" s="1100"/>
      <c r="E26" s="1100"/>
      <c r="F26" s="1100"/>
      <c r="G26" s="1100"/>
      <c r="H26" s="1100"/>
      <c r="I26" s="1100"/>
      <c r="J26" s="1100"/>
      <c r="K26" s="1100"/>
      <c r="L26" s="1100"/>
      <c r="M26" s="1100"/>
    </row>
    <row r="27" spans="1:13" ht="12.75">
      <c r="A27" s="1100"/>
      <c r="B27" s="1100"/>
      <c r="C27" s="1100"/>
      <c r="D27" s="1100"/>
      <c r="E27" s="1100"/>
      <c r="F27" s="1100"/>
      <c r="G27" s="1100"/>
      <c r="H27" s="1100"/>
      <c r="I27" s="1100"/>
      <c r="J27" s="1100"/>
      <c r="K27" s="1100"/>
      <c r="L27" s="1100"/>
      <c r="M27" s="1100"/>
    </row>
    <row r="28" spans="1:13" ht="12.75">
      <c r="A28" s="1100"/>
      <c r="B28" s="1100"/>
      <c r="C28" s="1100"/>
      <c r="D28" s="1100"/>
      <c r="E28" s="1100"/>
      <c r="F28" s="1100"/>
      <c r="G28" s="1100"/>
      <c r="H28" s="1100"/>
      <c r="I28" s="1100"/>
      <c r="J28" s="1100"/>
      <c r="K28" s="1100"/>
      <c r="L28" s="1100"/>
      <c r="M28" s="1100"/>
    </row>
    <row r="29" spans="1:13" ht="12.75">
      <c r="A29" s="1100"/>
      <c r="B29" s="1100"/>
      <c r="C29" s="1100"/>
      <c r="D29" s="1100"/>
      <c r="E29" s="1100"/>
      <c r="F29" s="1100"/>
      <c r="G29" s="1100"/>
      <c r="H29" s="1100"/>
      <c r="I29" s="1100"/>
      <c r="J29" s="1100"/>
      <c r="K29" s="1100"/>
      <c r="L29" s="1100"/>
      <c r="M29" s="1100"/>
    </row>
    <row r="30" spans="1:13" ht="12.75">
      <c r="A30" s="1100"/>
      <c r="B30" s="1100"/>
      <c r="C30" s="1100"/>
      <c r="D30" s="1100"/>
      <c r="E30" s="1100"/>
      <c r="F30" s="1100"/>
      <c r="G30" s="1100"/>
      <c r="H30" s="1100"/>
      <c r="I30" s="1100"/>
      <c r="J30" s="1100"/>
      <c r="K30" s="1100"/>
      <c r="L30" s="1100"/>
      <c r="M30" s="1100"/>
    </row>
    <row r="31" spans="1:13" ht="12.75">
      <c r="A31" s="1100"/>
      <c r="B31" s="1100"/>
      <c r="C31" s="1100"/>
      <c r="D31" s="1100"/>
      <c r="E31" s="1100"/>
      <c r="F31" s="1100"/>
      <c r="G31" s="1100"/>
      <c r="H31" s="1100"/>
      <c r="I31" s="1100"/>
      <c r="J31" s="1100"/>
      <c r="K31" s="1100"/>
      <c r="L31" s="1100"/>
      <c r="M31" s="1100"/>
    </row>
    <row r="32" spans="1:13" ht="12.75">
      <c r="A32" s="1100"/>
      <c r="B32" s="1100"/>
      <c r="C32" s="1100"/>
      <c r="D32" s="1100"/>
      <c r="E32" s="1100"/>
      <c r="F32" s="1100"/>
      <c r="G32" s="1100"/>
      <c r="H32" s="1100"/>
      <c r="I32" s="1100"/>
      <c r="J32" s="1100"/>
      <c r="K32" s="1100"/>
      <c r="L32" s="1100"/>
      <c r="M32" s="1100"/>
    </row>
    <row r="33" spans="1:13" ht="12.75">
      <c r="A33" s="1100"/>
      <c r="B33" s="1100"/>
      <c r="C33" s="1100"/>
      <c r="D33" s="1100"/>
      <c r="E33" s="1100"/>
      <c r="F33" s="1100"/>
      <c r="G33" s="1100"/>
      <c r="H33" s="1100"/>
      <c r="I33" s="1100"/>
      <c r="J33" s="1100"/>
      <c r="K33" s="1100"/>
      <c r="L33" s="1100"/>
      <c r="M33" s="1100"/>
    </row>
  </sheetData>
  <mergeCells count="1">
    <mergeCell ref="A1:M33"/>
  </mergeCell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sheetPr codeName="Hoja10">
    <pageSetUpPr fitToPage="1"/>
  </sheetPr>
  <dimension ref="A1:W19"/>
  <sheetViews>
    <sheetView zoomScale="80" zoomScaleNormal="80" workbookViewId="0" topLeftCell="A1">
      <selection activeCell="D9" sqref="D9"/>
    </sheetView>
  </sheetViews>
  <sheetFormatPr defaultColWidth="11.421875" defaultRowHeight="12.75"/>
  <cols>
    <col min="1" max="1" width="7.28125" style="0" customWidth="1"/>
    <col min="2" max="2" width="5.00390625" style="0" customWidth="1"/>
    <col min="3" max="3" width="18.57421875" style="0" customWidth="1"/>
    <col min="4" max="4" width="26.421875" style="0" customWidth="1"/>
    <col min="5" max="5" width="23.57421875" style="0" customWidth="1"/>
    <col min="6" max="6" width="24.140625" style="0" customWidth="1"/>
    <col min="7" max="7" width="5.00390625" style="0" customWidth="1"/>
    <col min="8" max="8" width="13.00390625" style="0" customWidth="1"/>
    <col min="9" max="12" width="9.140625" style="0" hidden="1" customWidth="1"/>
    <col min="13" max="16384" width="9.140625" style="0" customWidth="1"/>
  </cols>
  <sheetData>
    <row r="1" spans="1:23" ht="18" customHeight="1">
      <c r="A1" s="1228" t="s">
        <v>628</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pans="2:13" ht="18" customHeight="1">
      <c r="B2" s="1232"/>
      <c r="C2" s="1233"/>
      <c r="D2" s="1233"/>
      <c r="E2" s="1233"/>
      <c r="F2" s="1233"/>
      <c r="G2" s="1233"/>
      <c r="H2" s="1234"/>
      <c r="I2" s="1234"/>
      <c r="J2" s="1235"/>
      <c r="K2" s="1236"/>
      <c r="L2" s="1236"/>
      <c r="M2" s="1236"/>
    </row>
    <row r="3" spans="2:18" ht="26.25">
      <c r="B3" s="1240" t="s">
        <v>587</v>
      </c>
      <c r="C3" s="1241"/>
      <c r="D3" s="1241"/>
      <c r="E3" s="1241"/>
      <c r="F3" s="1241"/>
      <c r="G3" s="1241"/>
      <c r="H3" s="1241"/>
      <c r="I3" s="1241"/>
      <c r="J3" s="1241"/>
      <c r="K3" s="1241"/>
      <c r="L3" s="1241"/>
      <c r="M3" s="1241"/>
      <c r="N3" s="1241"/>
      <c r="O3" s="1241"/>
      <c r="P3" s="1241"/>
      <c r="Q3" s="1241"/>
      <c r="R3" s="1241"/>
    </row>
    <row r="4" ht="18" customHeight="1"/>
    <row r="5" ht="18" customHeight="1" thickBot="1"/>
    <row r="6" spans="2:7" ht="39.75" customHeight="1" thickTop="1">
      <c r="B6" s="52"/>
      <c r="C6" s="1230" t="s">
        <v>629</v>
      </c>
      <c r="D6" s="1230"/>
      <c r="E6" s="1230"/>
      <c r="F6" s="1230"/>
      <c r="G6" s="1231"/>
    </row>
    <row r="7" spans="2:7" ht="21.75" customHeight="1">
      <c r="B7" s="55"/>
      <c r="C7" s="63"/>
      <c r="D7" s="63"/>
      <c r="E7" s="63"/>
      <c r="F7" s="63"/>
      <c r="G7" s="56"/>
    </row>
    <row r="8" spans="2:7" s="208" customFormat="1" ht="47.25" customHeight="1">
      <c r="B8" s="87"/>
      <c r="C8" s="209" t="s">
        <v>630</v>
      </c>
      <c r="D8" s="210" t="s">
        <v>631</v>
      </c>
      <c r="E8" s="210" t="s">
        <v>632</v>
      </c>
      <c r="F8" s="210" t="s">
        <v>633</v>
      </c>
      <c r="G8" s="84"/>
    </row>
    <row r="9" spans="2:7" ht="12.75">
      <c r="B9" s="55"/>
      <c r="C9" s="211" t="s">
        <v>634</v>
      </c>
      <c r="D9" s="743"/>
      <c r="E9" s="212">
        <v>0.415</v>
      </c>
      <c r="F9" s="742">
        <f>D9*E9</f>
        <v>0</v>
      </c>
      <c r="G9" s="56"/>
    </row>
    <row r="10" spans="2:7" ht="12.75">
      <c r="B10" s="55"/>
      <c r="C10" s="211" t="s">
        <v>635</v>
      </c>
      <c r="D10" s="743"/>
      <c r="E10" s="213">
        <v>0.44</v>
      </c>
      <c r="F10" s="742">
        <f>D10*E10</f>
        <v>0</v>
      </c>
      <c r="G10" s="56"/>
    </row>
    <row r="11" spans="2:7" ht="15.75">
      <c r="B11" s="55"/>
      <c r="C11" s="63"/>
      <c r="D11" s="63"/>
      <c r="E11" s="214" t="s">
        <v>636</v>
      </c>
      <c r="F11" s="742">
        <f>F10+F9</f>
        <v>0</v>
      </c>
      <c r="G11" s="56"/>
    </row>
    <row r="12" spans="2:7" ht="14.25" customHeight="1">
      <c r="B12" s="55"/>
      <c r="C12" s="63"/>
      <c r="D12" s="63"/>
      <c r="E12" s="63"/>
      <c r="F12" s="63"/>
      <c r="G12" s="56"/>
    </row>
    <row r="13" spans="2:7" ht="111.75" customHeight="1" thickBot="1">
      <c r="B13" s="1237" t="s">
        <v>639</v>
      </c>
      <c r="C13" s="1238"/>
      <c r="D13" s="1238"/>
      <c r="E13" s="1238"/>
      <c r="F13" s="1238"/>
      <c r="G13" s="1239"/>
    </row>
    <row r="14" ht="15" thickTop="1">
      <c r="A14" s="626"/>
    </row>
    <row r="15" ht="14.25">
      <c r="A15" s="626"/>
    </row>
    <row r="16" ht="14.25">
      <c r="A16" s="626"/>
    </row>
    <row r="19" spans="2:13" s="32" customFormat="1" ht="10.5" customHeight="1">
      <c r="B19" s="1229"/>
      <c r="C19" s="1225"/>
      <c r="D19" s="1225"/>
      <c r="E19" s="1225"/>
      <c r="F19" s="1225"/>
      <c r="G19" s="1225"/>
      <c r="H19" s="1225"/>
      <c r="I19" s="1225"/>
      <c r="J19" s="1225"/>
      <c r="K19" s="1225"/>
      <c r="L19" s="1225"/>
      <c r="M19" s="1225"/>
    </row>
  </sheetData>
  <mergeCells count="6">
    <mergeCell ref="A1:W1"/>
    <mergeCell ref="B19:M19"/>
    <mergeCell ref="C6:G6"/>
    <mergeCell ref="B2:M2"/>
    <mergeCell ref="B13:G13"/>
    <mergeCell ref="B3:R3"/>
  </mergeCells>
  <printOptions horizontalCentered="1"/>
  <pageMargins left="0.75" right="0.75" top="1" bottom="1" header="0.5" footer="0.5"/>
  <pageSetup fitToHeight="1" fitToWidth="1" horizontalDpi="600" verticalDpi="600" orientation="portrait" scale="86" r:id="rId1"/>
</worksheet>
</file>

<file path=xl/worksheets/sheet11.xml><?xml version="1.0" encoding="utf-8"?>
<worksheet xmlns="http://schemas.openxmlformats.org/spreadsheetml/2006/main" xmlns:r="http://schemas.openxmlformats.org/officeDocument/2006/relationships">
  <sheetPr codeName="Hoja13">
    <pageSetUpPr fitToPage="1"/>
  </sheetPr>
  <dimension ref="B1:X39"/>
  <sheetViews>
    <sheetView zoomScale="80" zoomScaleNormal="80" workbookViewId="0" topLeftCell="A1">
      <selection activeCell="D25" sqref="D25"/>
    </sheetView>
  </sheetViews>
  <sheetFormatPr defaultColWidth="11.421875" defaultRowHeight="12.75"/>
  <cols>
    <col min="1" max="1" width="4.00390625" style="4" customWidth="1"/>
    <col min="2" max="2" width="3.8515625" style="4" customWidth="1"/>
    <col min="3" max="3" width="31.57421875" style="4" customWidth="1"/>
    <col min="4" max="4" width="17.00390625" style="4" customWidth="1"/>
    <col min="5" max="5" width="19.140625" style="4" customWidth="1"/>
    <col min="6" max="6" width="16.421875" style="4" customWidth="1"/>
    <col min="7" max="7" width="18.7109375" style="4" customWidth="1"/>
    <col min="8" max="8" width="25.7109375" style="4" customWidth="1"/>
    <col min="9" max="9" width="2.7109375" style="4" customWidth="1"/>
    <col min="10" max="10" width="24.140625" style="4" customWidth="1"/>
    <col min="11" max="11" width="8.57421875" style="4" customWidth="1"/>
    <col min="12" max="12" width="14.7109375" style="4" customWidth="1"/>
    <col min="13" max="13" width="15.7109375" style="4" customWidth="1"/>
    <col min="14" max="16384" width="9.7109375" style="4" customWidth="1"/>
  </cols>
  <sheetData>
    <row r="1" spans="2:24" ht="18" customHeight="1">
      <c r="B1" s="1228" t="s">
        <v>628</v>
      </c>
      <c r="C1" s="1228"/>
      <c r="D1" s="1228"/>
      <c r="E1" s="1228"/>
      <c r="F1" s="1228"/>
      <c r="G1" s="1228"/>
      <c r="H1" s="1228"/>
      <c r="I1" s="1228"/>
      <c r="J1" s="1228"/>
      <c r="K1" s="1228"/>
      <c r="L1" s="1228"/>
      <c r="M1" s="1228"/>
      <c r="N1" s="1228"/>
      <c r="O1" s="1228"/>
      <c r="P1" s="1228"/>
      <c r="Q1" s="1228"/>
      <c r="R1" s="1228"/>
      <c r="S1" s="1228"/>
      <c r="T1" s="1228"/>
      <c r="U1" s="1228"/>
      <c r="V1" s="1228"/>
      <c r="W1" s="1228"/>
      <c r="X1" s="1228"/>
    </row>
    <row r="2" ht="21.75" customHeight="1"/>
    <row r="3" spans="3:19" ht="18" customHeight="1">
      <c r="C3" s="1240" t="s">
        <v>282</v>
      </c>
      <c r="D3" s="1240"/>
      <c r="E3" s="1240"/>
      <c r="F3" s="1240"/>
      <c r="G3" s="1240"/>
      <c r="H3" s="1240"/>
      <c r="I3" s="1240"/>
      <c r="J3" s="1240"/>
      <c r="K3" s="1240"/>
      <c r="L3" s="1240"/>
      <c r="M3" s="1240"/>
      <c r="N3" s="1240"/>
      <c r="O3" s="1240"/>
      <c r="P3" s="1240"/>
      <c r="Q3" s="1240"/>
      <c r="R3" s="1240"/>
      <c r="S3" s="1240"/>
    </row>
    <row r="4" spans="3:8" s="1" customFormat="1" ht="19.5" customHeight="1">
      <c r="C4" s="974"/>
      <c r="D4" s="972"/>
      <c r="E4" s="972"/>
      <c r="F4" s="972"/>
      <c r="G4" s="972"/>
      <c r="H4" s="972"/>
    </row>
    <row r="5" spans="3:8" s="1" customFormat="1" ht="19.5" customHeight="1">
      <c r="C5" s="973"/>
      <c r="D5" s="972"/>
      <c r="E5" s="972"/>
      <c r="F5" s="972"/>
      <c r="G5" s="972"/>
      <c r="H5" s="972"/>
    </row>
    <row r="6" s="1" customFormat="1" ht="19.5" customHeight="1" thickBot="1">
      <c r="C6" s="169"/>
    </row>
    <row r="7" spans="2:7" s="1" customFormat="1" ht="18" customHeight="1" thickTop="1">
      <c r="B7" s="618" t="s">
        <v>207</v>
      </c>
      <c r="C7" s="611"/>
      <c r="D7" s="613"/>
      <c r="E7" s="611"/>
      <c r="F7" s="611"/>
      <c r="G7" s="622"/>
    </row>
    <row r="8" spans="2:7" s="1" customFormat="1" ht="18" customHeight="1">
      <c r="B8" s="992" t="s">
        <v>454</v>
      </c>
      <c r="C8" s="1027"/>
      <c r="D8" s="1026"/>
      <c r="E8" s="1025"/>
      <c r="F8" s="1028"/>
      <c r="G8" s="367"/>
    </row>
    <row r="9" spans="2:7" s="1" customFormat="1" ht="18" customHeight="1">
      <c r="B9" s="992" t="s">
        <v>448</v>
      </c>
      <c r="C9" s="1027"/>
      <c r="D9" s="1020"/>
      <c r="E9" s="1019"/>
      <c r="G9" s="367"/>
    </row>
    <row r="10" spans="2:7" s="1" customFormat="1" ht="18" customHeight="1">
      <c r="B10" s="992" t="s">
        <v>446</v>
      </c>
      <c r="C10" s="1027"/>
      <c r="D10" s="1024"/>
      <c r="E10" s="1023"/>
      <c r="G10" s="367"/>
    </row>
    <row r="11" spans="2:7" s="1" customFormat="1" ht="18" customHeight="1" thickBot="1">
      <c r="B11" s="609"/>
      <c r="C11" s="559"/>
      <c r="D11" s="559"/>
      <c r="E11" s="559"/>
      <c r="F11" s="559"/>
      <c r="G11" s="610"/>
    </row>
    <row r="12" s="1" customFormat="1" ht="18" customHeight="1" thickBot="1" thickTop="1">
      <c r="B12" s="2"/>
    </row>
    <row r="13" spans="2:11" s="1" customFormat="1" ht="38.25" customHeight="1" thickTop="1">
      <c r="B13" s="52"/>
      <c r="C13" s="1220" t="s">
        <v>283</v>
      </c>
      <c r="D13" s="1243"/>
      <c r="E13" s="1243"/>
      <c r="F13" s="1243"/>
      <c r="G13" s="1220"/>
      <c r="H13" s="1243"/>
      <c r="I13" s="1243"/>
      <c r="J13" s="1243"/>
      <c r="K13" s="54"/>
    </row>
    <row r="14" spans="2:11" s="1" customFormat="1" ht="15" customHeight="1" thickBot="1">
      <c r="B14" s="78"/>
      <c r="C14" s="240"/>
      <c r="D14" s="79"/>
      <c r="E14" s="79"/>
      <c r="F14" s="79"/>
      <c r="G14" s="79"/>
      <c r="H14" s="79"/>
      <c r="I14" s="79"/>
      <c r="J14" s="79"/>
      <c r="K14" s="75"/>
    </row>
    <row r="15" spans="2:11" s="1" customFormat="1" ht="18" customHeight="1" thickTop="1">
      <c r="B15" s="55"/>
      <c r="C15" s="63"/>
      <c r="D15" s="63"/>
      <c r="E15" s="63"/>
      <c r="F15" s="63"/>
      <c r="G15" s="63"/>
      <c r="H15" s="63"/>
      <c r="I15" s="63"/>
      <c r="J15" s="63"/>
      <c r="K15" s="56"/>
    </row>
    <row r="16" spans="2:11" s="1" customFormat="1" ht="18" customHeight="1">
      <c r="B16" s="55"/>
      <c r="C16" s="98" t="s">
        <v>284</v>
      </c>
      <c r="D16" s="63"/>
      <c r="E16" s="63"/>
      <c r="F16" s="63"/>
      <c r="G16" s="63"/>
      <c r="H16" s="63"/>
      <c r="I16" s="63"/>
      <c r="J16" s="63"/>
      <c r="K16" s="56"/>
    </row>
    <row r="17" spans="2:11" s="1" customFormat="1" ht="18" customHeight="1">
      <c r="B17" s="55"/>
      <c r="C17" s="63"/>
      <c r="D17" s="63"/>
      <c r="E17" s="63"/>
      <c r="F17" s="63"/>
      <c r="G17" s="63"/>
      <c r="H17" s="63"/>
      <c r="I17" s="63"/>
      <c r="J17" s="63"/>
      <c r="K17" s="56"/>
    </row>
    <row r="18" spans="2:11" ht="18" customHeight="1">
      <c r="B18" s="55"/>
      <c r="C18" s="64"/>
      <c r="D18" s="3" t="s">
        <v>469</v>
      </c>
      <c r="E18" s="17" t="s">
        <v>470</v>
      </c>
      <c r="F18" s="3" t="s">
        <v>471</v>
      </c>
      <c r="G18" s="3" t="s">
        <v>156</v>
      </c>
      <c r="H18" s="3" t="s">
        <v>157</v>
      </c>
      <c r="I18" s="573"/>
      <c r="J18" s="573"/>
      <c r="K18" s="56"/>
    </row>
    <row r="19" spans="2:11" ht="19.5" customHeight="1">
      <c r="B19" s="55"/>
      <c r="C19" s="64"/>
      <c r="D19" s="3" t="s">
        <v>409</v>
      </c>
      <c r="E19" s="17" t="s">
        <v>410</v>
      </c>
      <c r="F19" s="3" t="s">
        <v>414</v>
      </c>
      <c r="G19" s="18" t="s">
        <v>411</v>
      </c>
      <c r="H19" s="3" t="s">
        <v>412</v>
      </c>
      <c r="I19" s="573"/>
      <c r="J19" s="573"/>
      <c r="K19" s="56"/>
    </row>
    <row r="20" spans="2:11" ht="69.75" customHeight="1">
      <c r="B20" s="55"/>
      <c r="C20" s="64"/>
      <c r="D20" s="5" t="s">
        <v>285</v>
      </c>
      <c r="E20" s="5" t="s">
        <v>286</v>
      </c>
      <c r="F20" s="5" t="s">
        <v>287</v>
      </c>
      <c r="G20" s="5" t="s">
        <v>288</v>
      </c>
      <c r="H20" s="8" t="s">
        <v>289</v>
      </c>
      <c r="I20" s="574"/>
      <c r="J20" s="8" t="s">
        <v>290</v>
      </c>
      <c r="K20" s="56"/>
    </row>
    <row r="21" spans="2:11" ht="27.75" customHeight="1">
      <c r="B21" s="55"/>
      <c r="C21" s="64"/>
      <c r="D21" s="6"/>
      <c r="E21" s="6"/>
      <c r="F21" s="6"/>
      <c r="G21" s="8" t="s">
        <v>377</v>
      </c>
      <c r="H21" s="8" t="s">
        <v>362</v>
      </c>
      <c r="I21" s="574"/>
      <c r="J21" s="8"/>
      <c r="K21" s="56"/>
    </row>
    <row r="22" spans="2:11" ht="28.5" customHeight="1">
      <c r="B22" s="55"/>
      <c r="C22" s="111"/>
      <c r="D22" s="7" t="s">
        <v>880</v>
      </c>
      <c r="E22" s="114" t="s">
        <v>666</v>
      </c>
      <c r="F22" s="9" t="s">
        <v>880</v>
      </c>
      <c r="G22" s="114" t="s">
        <v>666</v>
      </c>
      <c r="H22" s="8" t="s">
        <v>291</v>
      </c>
      <c r="I22" s="575"/>
      <c r="J22" s="8" t="s">
        <v>292</v>
      </c>
      <c r="K22" s="56"/>
    </row>
    <row r="23" spans="2:11" ht="19.5" customHeight="1">
      <c r="B23" s="55"/>
      <c r="C23" s="81"/>
      <c r="D23" s="67"/>
      <c r="E23" s="67"/>
      <c r="F23" s="67"/>
      <c r="G23" s="82"/>
      <c r="H23" s="82"/>
      <c r="I23" s="61"/>
      <c r="J23" s="82"/>
      <c r="K23" s="56"/>
    </row>
    <row r="24" spans="2:11" s="13" customFormat="1" ht="19.5" customHeight="1">
      <c r="B24" s="80"/>
      <c r="C24" s="110" t="s">
        <v>681</v>
      </c>
      <c r="D24" s="12"/>
      <c r="E24" s="12"/>
      <c r="F24" s="12"/>
      <c r="G24" s="20"/>
      <c r="H24" s="20"/>
      <c r="I24" s="61"/>
      <c r="J24" s="20"/>
      <c r="K24" s="103"/>
    </row>
    <row r="25" spans="2:11" ht="19.5" customHeight="1">
      <c r="B25" s="55"/>
      <c r="C25" s="112"/>
      <c r="D25" s="740"/>
      <c r="E25" s="740"/>
      <c r="F25" s="740"/>
      <c r="G25" s="122">
        <f aca="true" t="shared" si="0" ref="G25:G33">IF(D25=0,"",-E25*F25/D25)</f>
      </c>
      <c r="H25" s="122">
        <f>+IF(F25=0,"",-G25/F25)</f>
      </c>
      <c r="I25" s="574"/>
      <c r="J25" s="740"/>
      <c r="K25" s="56"/>
    </row>
    <row r="26" spans="2:11" ht="19.5" customHeight="1">
      <c r="B26" s="55"/>
      <c r="C26" s="112"/>
      <c r="D26" s="740"/>
      <c r="E26" s="740"/>
      <c r="F26" s="740"/>
      <c r="G26" s="122">
        <f t="shared" si="0"/>
      </c>
      <c r="H26" s="122">
        <f>+IF(F26=0,"",-G26/F26)</f>
      </c>
      <c r="I26" s="574"/>
      <c r="J26" s="740"/>
      <c r="K26" s="56"/>
    </row>
    <row r="27" spans="2:11" ht="19.5" customHeight="1">
      <c r="B27" s="55"/>
      <c r="C27" s="112"/>
      <c r="D27" s="740"/>
      <c r="E27" s="740"/>
      <c r="F27" s="740"/>
      <c r="G27" s="122">
        <f t="shared" si="0"/>
      </c>
      <c r="H27" s="122">
        <f aca="true" t="shared" si="1" ref="H27:H33">+IF(F27=0,"",-G27/F27)</f>
      </c>
      <c r="I27" s="574"/>
      <c r="J27" s="740"/>
      <c r="K27" s="56"/>
    </row>
    <row r="28" spans="2:11" ht="19.5" customHeight="1">
      <c r="B28" s="55"/>
      <c r="C28" s="112"/>
      <c r="D28" s="740"/>
      <c r="E28" s="740"/>
      <c r="F28" s="740"/>
      <c r="G28" s="122">
        <f t="shared" si="0"/>
      </c>
      <c r="H28" s="122">
        <f t="shared" si="1"/>
      </c>
      <c r="I28" s="574"/>
      <c r="J28" s="740"/>
      <c r="K28" s="56"/>
    </row>
    <row r="29" spans="2:11" ht="19.5" customHeight="1">
      <c r="B29" s="55"/>
      <c r="C29" s="113"/>
      <c r="D29" s="740"/>
      <c r="E29" s="740"/>
      <c r="F29" s="740"/>
      <c r="G29" s="122">
        <f t="shared" si="0"/>
      </c>
      <c r="H29" s="122">
        <f t="shared" si="1"/>
      </c>
      <c r="I29" s="574"/>
      <c r="J29" s="740"/>
      <c r="K29" s="56"/>
    </row>
    <row r="30" spans="2:11" ht="19.5" customHeight="1">
      <c r="B30" s="55"/>
      <c r="C30" s="113"/>
      <c r="D30" s="740"/>
      <c r="E30" s="740"/>
      <c r="F30" s="740"/>
      <c r="G30" s="122">
        <f t="shared" si="0"/>
      </c>
      <c r="H30" s="122">
        <f t="shared" si="1"/>
      </c>
      <c r="I30" s="574"/>
      <c r="J30" s="740"/>
      <c r="K30" s="56"/>
    </row>
    <row r="31" spans="2:11" ht="19.5" customHeight="1">
      <c r="B31" s="55"/>
      <c r="C31" s="113"/>
      <c r="D31" s="740"/>
      <c r="E31" s="740"/>
      <c r="F31" s="740"/>
      <c r="G31" s="122">
        <f t="shared" si="0"/>
      </c>
      <c r="H31" s="122">
        <f t="shared" si="1"/>
      </c>
      <c r="I31" s="574"/>
      <c r="J31" s="740"/>
      <c r="K31" s="56"/>
    </row>
    <row r="32" spans="2:11" ht="19.5" customHeight="1">
      <c r="B32" s="55"/>
      <c r="C32" s="113"/>
      <c r="D32" s="740"/>
      <c r="E32" s="740"/>
      <c r="F32" s="740"/>
      <c r="G32" s="122">
        <f t="shared" si="0"/>
      </c>
      <c r="H32" s="122">
        <f t="shared" si="1"/>
      </c>
      <c r="I32" s="574"/>
      <c r="J32" s="740"/>
      <c r="K32" s="56"/>
    </row>
    <row r="33" spans="2:11" ht="19.5" customHeight="1">
      <c r="B33" s="55"/>
      <c r="C33" s="112"/>
      <c r="D33" s="740"/>
      <c r="E33" s="740"/>
      <c r="F33" s="740"/>
      <c r="G33" s="122">
        <f t="shared" si="0"/>
      </c>
      <c r="H33" s="122">
        <f t="shared" si="1"/>
      </c>
      <c r="I33" s="574"/>
      <c r="J33" s="740"/>
      <c r="K33" s="56"/>
    </row>
    <row r="34" spans="2:11" ht="18" customHeight="1">
      <c r="B34" s="55"/>
      <c r="C34" s="66"/>
      <c r="D34" s="61"/>
      <c r="E34" s="61"/>
      <c r="F34" s="61"/>
      <c r="G34" s="61"/>
      <c r="H34" s="61"/>
      <c r="I34" s="61"/>
      <c r="J34" s="61"/>
      <c r="K34" s="56"/>
    </row>
    <row r="35" spans="2:11" ht="18" customHeight="1">
      <c r="B35" s="55"/>
      <c r="C35" s="1242" t="s">
        <v>304</v>
      </c>
      <c r="D35" s="1242"/>
      <c r="E35" s="1242"/>
      <c r="F35" s="1242"/>
      <c r="G35" s="130">
        <f>SUM(G25:G33)</f>
        <v>0</v>
      </c>
      <c r="H35" s="374"/>
      <c r="I35" s="374"/>
      <c r="J35" s="374"/>
      <c r="K35" s="56"/>
    </row>
    <row r="36" spans="2:11" ht="13.5" thickBot="1">
      <c r="B36" s="78"/>
      <c r="C36" s="79"/>
      <c r="D36" s="79"/>
      <c r="E36" s="79"/>
      <c r="F36" s="79"/>
      <c r="G36" s="79"/>
      <c r="H36" s="79"/>
      <c r="I36" s="79"/>
      <c r="J36" s="79"/>
      <c r="K36" s="75"/>
    </row>
    <row r="37" ht="13.5" thickTop="1"/>
    <row r="39" ht="12.75">
      <c r="C39" s="4" t="s">
        <v>293</v>
      </c>
    </row>
  </sheetData>
  <mergeCells count="5">
    <mergeCell ref="C35:F35"/>
    <mergeCell ref="B1:X1"/>
    <mergeCell ref="C3:S3"/>
    <mergeCell ref="C13:F13"/>
    <mergeCell ref="G13:J13"/>
  </mergeCells>
  <printOptions horizontalCentered="1"/>
  <pageMargins left="0.75" right="0.75" top="1" bottom="1" header="0.5" footer="0.5"/>
  <pageSetup fitToHeight="1" fitToWidth="1" horizontalDpi="600" verticalDpi="600" orientation="landscape" paperSize="9" scale="70" r:id="rId1"/>
  <rowBreaks count="1" manualBreakCount="1">
    <brk id="10" max="255" man="1"/>
  </rowBreaks>
</worksheet>
</file>

<file path=xl/worksheets/sheet12.xml><?xml version="1.0" encoding="utf-8"?>
<worksheet xmlns="http://schemas.openxmlformats.org/spreadsheetml/2006/main" xmlns:r="http://schemas.openxmlformats.org/officeDocument/2006/relationships">
  <sheetPr codeName="Hoja11">
    <pageSetUpPr fitToPage="1"/>
  </sheetPr>
  <dimension ref="A1:W36"/>
  <sheetViews>
    <sheetView zoomScale="80" zoomScaleNormal="80" workbookViewId="0" topLeftCell="A25">
      <selection activeCell="D25" sqref="D25"/>
    </sheetView>
  </sheetViews>
  <sheetFormatPr defaultColWidth="11.421875" defaultRowHeight="12.75"/>
  <cols>
    <col min="1" max="1" width="3.57421875" style="4" customWidth="1"/>
    <col min="2" max="2" width="9.140625" style="4" customWidth="1"/>
    <col min="3" max="3" width="3.8515625" style="4" customWidth="1"/>
    <col min="4" max="4" width="18.140625" style="4" customWidth="1"/>
    <col min="5" max="5" width="18.57421875" style="4" customWidth="1"/>
    <col min="6" max="6" width="19.28125" style="4" customWidth="1"/>
    <col min="7" max="7" width="14.7109375" style="4" customWidth="1"/>
    <col min="8" max="8" width="21.00390625" style="4" customWidth="1"/>
    <col min="9" max="9" width="11.7109375" style="4" customWidth="1"/>
    <col min="10" max="10" width="11.00390625" style="4" customWidth="1"/>
    <col min="11" max="11" width="25.00390625" style="4" customWidth="1"/>
    <col min="12" max="12" width="19.7109375" style="4" customWidth="1"/>
    <col min="13" max="13" width="13.00390625" style="4" customWidth="1"/>
    <col min="14" max="14" width="19.8515625" style="4" customWidth="1"/>
    <col min="15" max="15" width="18.57421875" style="4" customWidth="1"/>
    <col min="16" max="16" width="21.00390625" style="4" customWidth="1"/>
    <col min="17" max="17" width="21.421875" style="4" customWidth="1"/>
    <col min="18" max="16384" width="9.7109375" style="4" customWidth="1"/>
  </cols>
  <sheetData>
    <row r="1" spans="1:23" ht="16.5" customHeight="1">
      <c r="A1" s="1228" t="s">
        <v>628</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pans="2:15" ht="18" customHeight="1">
      <c r="B2" s="1252"/>
      <c r="C2" s="1253"/>
      <c r="D2" s="1253"/>
      <c r="E2" s="1253"/>
      <c r="F2" s="1253"/>
      <c r="G2" s="1253"/>
      <c r="H2" s="1254"/>
      <c r="I2" s="1254"/>
      <c r="J2" s="1254"/>
      <c r="K2" s="1254"/>
      <c r="L2" s="1255"/>
      <c r="M2" s="1191"/>
      <c r="N2" s="1191"/>
      <c r="O2" s="1191"/>
    </row>
    <row r="3" spans="2:18" ht="26.25" customHeight="1">
      <c r="B3" s="1261" t="s">
        <v>641</v>
      </c>
      <c r="C3" s="1261"/>
      <c r="D3" s="1261"/>
      <c r="E3" s="1261"/>
      <c r="F3" s="1261"/>
      <c r="G3" s="1261"/>
      <c r="H3" s="1261"/>
      <c r="I3" s="1261"/>
      <c r="J3" s="1261"/>
      <c r="K3" s="1261"/>
      <c r="L3" s="975"/>
      <c r="M3" s="975"/>
      <c r="N3" s="975"/>
      <c r="O3" s="975"/>
      <c r="P3" s="975"/>
      <c r="Q3" s="975"/>
      <c r="R3" s="975"/>
    </row>
    <row r="4" s="1" customFormat="1" ht="18" customHeight="1">
      <c r="E4" s="2" t="s">
        <v>640</v>
      </c>
    </row>
    <row r="5" spans="4:12" s="1" customFormat="1" ht="17.25" customHeight="1">
      <c r="D5" s="627"/>
      <c r="E5" s="628"/>
      <c r="F5" s="628"/>
      <c r="G5" s="628"/>
      <c r="H5" s="628"/>
      <c r="I5" s="628"/>
      <c r="J5" s="628"/>
      <c r="K5" s="628"/>
      <c r="L5" s="628"/>
    </row>
    <row r="6" s="1" customFormat="1" ht="18" customHeight="1">
      <c r="D6" s="971" t="s">
        <v>643</v>
      </c>
    </row>
    <row r="7" spans="4:8" s="1" customFormat="1" ht="18" customHeight="1" thickBot="1">
      <c r="D7" s="270"/>
      <c r="G7" s="559"/>
      <c r="H7" s="559"/>
    </row>
    <row r="8" spans="3:8" s="1" customFormat="1" ht="24" customHeight="1" thickTop="1">
      <c r="C8" s="618" t="s">
        <v>207</v>
      </c>
      <c r="D8" s="611"/>
      <c r="E8" s="613"/>
      <c r="F8" s="611"/>
      <c r="H8" s="622"/>
    </row>
    <row r="9" spans="3:8" s="1" customFormat="1" ht="18" customHeight="1">
      <c r="C9" s="1133" t="s">
        <v>448</v>
      </c>
      <c r="D9" s="1161"/>
      <c r="E9" s="1244"/>
      <c r="F9" s="1020"/>
      <c r="G9" s="1019"/>
      <c r="H9" s="367"/>
    </row>
    <row r="10" spans="3:8" s="1" customFormat="1" ht="18" customHeight="1">
      <c r="C10" s="1133" t="s">
        <v>449</v>
      </c>
      <c r="D10" s="1161"/>
      <c r="F10" s="1022"/>
      <c r="G10" s="1021"/>
      <c r="H10" s="367"/>
    </row>
    <row r="11" spans="3:8" s="1" customFormat="1" ht="18" customHeight="1">
      <c r="C11" s="1245" t="s">
        <v>166</v>
      </c>
      <c r="D11" s="1246"/>
      <c r="E11" s="1246"/>
      <c r="F11" s="1024"/>
      <c r="G11" s="1023"/>
      <c r="H11" s="367"/>
    </row>
    <row r="12" spans="3:8" s="1" customFormat="1" ht="18" customHeight="1" thickBot="1">
      <c r="C12" s="609"/>
      <c r="D12" s="559"/>
      <c r="E12" s="559"/>
      <c r="F12" s="559"/>
      <c r="G12" s="559"/>
      <c r="H12" s="610"/>
    </row>
    <row r="13" spans="3:18" s="1" customFormat="1" ht="18" customHeight="1" thickBot="1" thickTop="1">
      <c r="C13" s="2"/>
      <c r="Q13" s="559"/>
      <c r="R13" s="559"/>
    </row>
    <row r="14" spans="2:18" s="1" customFormat="1" ht="45" customHeight="1" thickBot="1" thickTop="1">
      <c r="B14" s="225"/>
      <c r="C14" s="1259" t="s">
        <v>642</v>
      </c>
      <c r="D14" s="1260"/>
      <c r="E14" s="1260"/>
      <c r="F14" s="1260"/>
      <c r="G14" s="1260"/>
      <c r="H14" s="1260"/>
      <c r="I14" s="1260"/>
      <c r="J14" s="1260"/>
      <c r="K14" s="1260"/>
      <c r="L14" s="226"/>
      <c r="M14" s="226"/>
      <c r="N14" s="226"/>
      <c r="O14" s="226"/>
      <c r="P14" s="226"/>
      <c r="Q14" s="226"/>
      <c r="R14" s="227"/>
    </row>
    <row r="15" spans="2:18" s="1" customFormat="1" ht="18" customHeight="1" thickTop="1">
      <c r="B15" s="55"/>
      <c r="C15" s="63"/>
      <c r="D15" s="63"/>
      <c r="E15" s="63"/>
      <c r="F15" s="63"/>
      <c r="G15" s="63"/>
      <c r="H15" s="63"/>
      <c r="I15" s="63"/>
      <c r="J15" s="63"/>
      <c r="K15" s="63"/>
      <c r="L15" s="63"/>
      <c r="M15" s="63"/>
      <c r="N15" s="63"/>
      <c r="O15" s="63"/>
      <c r="P15" s="63"/>
      <c r="Q15" s="63"/>
      <c r="R15" s="56"/>
    </row>
    <row r="16" spans="2:18" s="1" customFormat="1" ht="27" customHeight="1">
      <c r="B16" s="55"/>
      <c r="C16" s="63"/>
      <c r="D16" s="1258" t="s">
        <v>644</v>
      </c>
      <c r="E16" s="1191"/>
      <c r="F16" s="1191"/>
      <c r="G16" s="1191"/>
      <c r="H16" s="1191"/>
      <c r="I16" s="1191"/>
      <c r="J16" s="1191"/>
      <c r="K16" s="1191"/>
      <c r="L16" s="1191"/>
      <c r="M16" s="280"/>
      <c r="N16" s="280"/>
      <c r="O16" s="280"/>
      <c r="P16" s="63"/>
      <c r="Q16" s="63"/>
      <c r="R16" s="56"/>
    </row>
    <row r="17" spans="2:18" s="1" customFormat="1" ht="18" customHeight="1">
      <c r="B17" s="55"/>
      <c r="C17" s="63"/>
      <c r="D17" s="63"/>
      <c r="E17" s="63"/>
      <c r="F17" s="63"/>
      <c r="G17" s="63"/>
      <c r="H17" s="63"/>
      <c r="I17" s="63"/>
      <c r="J17" s="63"/>
      <c r="K17" s="63"/>
      <c r="L17" s="63"/>
      <c r="M17" s="275"/>
      <c r="N17" s="275"/>
      <c r="O17" s="63"/>
      <c r="P17" s="275"/>
      <c r="Q17" s="63"/>
      <c r="R17" s="56"/>
    </row>
    <row r="18" spans="2:18" ht="15" customHeight="1">
      <c r="B18" s="55"/>
      <c r="C18" s="63"/>
      <c r="D18" s="3" t="s">
        <v>469</v>
      </c>
      <c r="E18" s="3" t="s">
        <v>470</v>
      </c>
      <c r="F18" s="3" t="s">
        <v>471</v>
      </c>
      <c r="G18" s="3" t="s">
        <v>156</v>
      </c>
      <c r="H18" s="3" t="s">
        <v>157</v>
      </c>
      <c r="I18" s="3"/>
      <c r="J18" s="3"/>
      <c r="K18" s="3" t="s">
        <v>588</v>
      </c>
      <c r="L18" s="3" t="s">
        <v>589</v>
      </c>
      <c r="M18" s="3" t="s">
        <v>590</v>
      </c>
      <c r="N18" s="3" t="s">
        <v>591</v>
      </c>
      <c r="O18" s="3" t="s">
        <v>592</v>
      </c>
      <c r="P18" s="3" t="s">
        <v>593</v>
      </c>
      <c r="Q18" s="3" t="s">
        <v>594</v>
      </c>
      <c r="R18" s="56"/>
    </row>
    <row r="19" spans="2:18" ht="14.25" customHeight="1">
      <c r="B19" s="55"/>
      <c r="C19" s="63"/>
      <c r="D19" s="3" t="s">
        <v>409</v>
      </c>
      <c r="E19" s="3" t="s">
        <v>410</v>
      </c>
      <c r="F19" s="278" t="s">
        <v>414</v>
      </c>
      <c r="G19" s="3" t="s">
        <v>411</v>
      </c>
      <c r="H19" s="3" t="s">
        <v>412</v>
      </c>
      <c r="I19" s="3"/>
      <c r="J19" s="3"/>
      <c r="K19" s="33" t="s">
        <v>413</v>
      </c>
      <c r="L19" s="3" t="s">
        <v>415</v>
      </c>
      <c r="M19" s="3" t="s">
        <v>874</v>
      </c>
      <c r="N19" s="3" t="s">
        <v>875</v>
      </c>
      <c r="O19" s="18" t="s">
        <v>876</v>
      </c>
      <c r="P19" s="3" t="s">
        <v>881</v>
      </c>
      <c r="Q19" s="3" t="s">
        <v>882</v>
      </c>
      <c r="R19" s="56"/>
    </row>
    <row r="20" spans="2:18" ht="75.75" customHeight="1">
      <c r="B20" s="55"/>
      <c r="C20" s="63"/>
      <c r="D20" s="5" t="s">
        <v>645</v>
      </c>
      <c r="E20" s="5" t="s">
        <v>646</v>
      </c>
      <c r="F20" s="5" t="s">
        <v>647</v>
      </c>
      <c r="G20" s="8" t="s">
        <v>648</v>
      </c>
      <c r="H20" s="5" t="s">
        <v>652</v>
      </c>
      <c r="I20" s="1256" t="s">
        <v>653</v>
      </c>
      <c r="J20" s="1257"/>
      <c r="K20" s="5" t="s">
        <v>654</v>
      </c>
      <c r="L20" s="5" t="s">
        <v>655</v>
      </c>
      <c r="M20" s="5" t="s">
        <v>656</v>
      </c>
      <c r="N20" s="5" t="s">
        <v>657</v>
      </c>
      <c r="O20" s="8" t="s">
        <v>658</v>
      </c>
      <c r="P20" s="279" t="s">
        <v>659</v>
      </c>
      <c r="Q20" s="276" t="s">
        <v>660</v>
      </c>
      <c r="R20" s="56"/>
    </row>
    <row r="21" spans="2:18" ht="99" customHeight="1">
      <c r="B21" s="55"/>
      <c r="C21" s="63"/>
      <c r="D21" s="6"/>
      <c r="E21" s="6"/>
      <c r="F21" s="6"/>
      <c r="G21" s="279"/>
      <c r="H21" s="8" t="s">
        <v>661</v>
      </c>
      <c r="I21" s="5" t="s">
        <v>662</v>
      </c>
      <c r="J21" s="5" t="s">
        <v>663</v>
      </c>
      <c r="K21" s="8" t="s">
        <v>664</v>
      </c>
      <c r="L21" s="8" t="s">
        <v>845</v>
      </c>
      <c r="M21" s="8" t="s">
        <v>846</v>
      </c>
      <c r="N21" s="8" t="s">
        <v>847</v>
      </c>
      <c r="O21" s="8" t="s">
        <v>848</v>
      </c>
      <c r="P21" s="8" t="s">
        <v>849</v>
      </c>
      <c r="Q21" s="277" t="s">
        <v>850</v>
      </c>
      <c r="R21" s="56"/>
    </row>
    <row r="22" spans="2:18" ht="39.75" customHeight="1">
      <c r="B22" s="55"/>
      <c r="C22" s="63"/>
      <c r="D22" s="9" t="s">
        <v>667</v>
      </c>
      <c r="E22" s="114" t="s">
        <v>668</v>
      </c>
      <c r="F22" s="114" t="s">
        <v>668</v>
      </c>
      <c r="G22" s="8" t="s">
        <v>667</v>
      </c>
      <c r="H22" s="114" t="s">
        <v>666</v>
      </c>
      <c r="I22" s="236"/>
      <c r="J22" s="236"/>
      <c r="K22" s="114" t="s">
        <v>851</v>
      </c>
      <c r="L22" s="114"/>
      <c r="M22" s="114"/>
      <c r="N22" s="9" t="s">
        <v>666</v>
      </c>
      <c r="O22" s="8" t="s">
        <v>666</v>
      </c>
      <c r="P22" s="279" t="s">
        <v>665</v>
      </c>
      <c r="Q22" s="276" t="s">
        <v>665</v>
      </c>
      <c r="R22" s="56"/>
    </row>
    <row r="23" spans="2:18" ht="19.5" customHeight="1">
      <c r="B23" s="1249" t="s">
        <v>669</v>
      </c>
      <c r="C23" s="1250"/>
      <c r="D23" s="738">
        <v>1000000</v>
      </c>
      <c r="E23" s="738">
        <v>500000</v>
      </c>
      <c r="F23" s="739">
        <v>2679000</v>
      </c>
      <c r="G23" s="281" t="s">
        <v>439</v>
      </c>
      <c r="H23" s="281">
        <v>587.4</v>
      </c>
      <c r="I23" s="281">
        <f>IF(ISERROR(D23/(F23-E23)),"",D23/(F23-E23))</f>
        <v>0.45892611289582375</v>
      </c>
      <c r="J23" s="281">
        <f>IF(ISERROR((F23-D23)/E23),"",(F23-D23)/E23)</f>
        <v>3.358</v>
      </c>
      <c r="K23" s="82">
        <v>2.29</v>
      </c>
      <c r="L23" s="67">
        <f>+IF(ISERROR((D23+K23*E23)/(F23*K23)),"",(D23+K23*E23)/(F23*K23))</f>
        <v>0.3496383810031443</v>
      </c>
      <c r="M23" s="67">
        <f>IF(ISERROR(K23*L23),"",K23*L23)</f>
        <v>0.8006718924972005</v>
      </c>
      <c r="N23" s="67">
        <f>+IF(ISERROR(H23*(D23/(D23+E23*K23))),"",H23*(D23/(D23+E23*K23)))</f>
        <v>273.8461538461538</v>
      </c>
      <c r="O23" s="182">
        <f>IF(ISERROR(H23-N23),"",H23-N23)</f>
        <v>313.55384615384617</v>
      </c>
      <c r="P23" s="182">
        <f>IF(ISERROR(N23*1000/D23),"",N23*1000/D23)</f>
        <v>0.2738461538461538</v>
      </c>
      <c r="Q23" s="182">
        <f>IF(ISERROR(O23*1000/E23),"",O23*1000/E23)</f>
        <v>0.6271076923076924</v>
      </c>
      <c r="R23" s="56"/>
    </row>
    <row r="24" spans="2:18" s="13" customFormat="1" ht="10.5" customHeight="1">
      <c r="B24" s="80"/>
      <c r="C24" s="215"/>
      <c r="D24" s="36"/>
      <c r="E24" s="10"/>
      <c r="F24" s="10"/>
      <c r="G24" s="11"/>
      <c r="H24" s="11"/>
      <c r="I24" s="634">
        <f>IF(ISERROR(D24/(F24-E24)),"",D24/(F24-E24))</f>
      </c>
      <c r="J24" s="634">
        <f>IF(ISERROR((F24-D24)/E24),"",(F24-D24)/E24)</f>
      </c>
      <c r="K24" s="10"/>
      <c r="L24" s="635"/>
      <c r="M24" s="635"/>
      <c r="N24" s="635"/>
      <c r="O24" s="636"/>
      <c r="P24" s="636"/>
      <c r="Q24" s="636"/>
      <c r="R24" s="103"/>
    </row>
    <row r="25" spans="2:18" s="38" customFormat="1" ht="20.25" customHeight="1">
      <c r="B25" s="1247" t="s">
        <v>596</v>
      </c>
      <c r="C25" s="1248"/>
      <c r="D25" s="740"/>
      <c r="E25" s="766"/>
      <c r="F25" s="767"/>
      <c r="G25" s="769"/>
      <c r="H25" s="767"/>
      <c r="I25" s="122">
        <f>IF(ISERROR(D25/(F25-E25)),"",D25/(F25-E25))</f>
      </c>
      <c r="J25" s="122">
        <f>IF(ISERROR((F25-D25)/E25),"",(F25-D25)/E25)</f>
      </c>
      <c r="K25" s="766"/>
      <c r="L25" s="637">
        <f>+IF(ISERROR((D25+K25*E25)/(F25*K25)),"",(D25+K25*E25)/(F25*K25))</f>
      </c>
      <c r="M25" s="637">
        <f>IF(ISERROR(K25*L25),"",K25*L25)</f>
      </c>
      <c r="N25" s="128">
        <f>+IF(ISERROR(H25*(D25/(D25+E25*K25))),"",H25*(D25/(D25+E25*K25)))</f>
      </c>
      <c r="O25" s="122">
        <f>IF(ISERROR(H25-N25),"",H25-N25)</f>
      </c>
      <c r="P25" s="122">
        <f aca="true" t="shared" si="0" ref="P25:Q27">IF(ISERROR(N25*1000/D25),"",N25*1000/D25)</f>
      </c>
      <c r="Q25" s="122">
        <f t="shared" si="0"/>
      </c>
      <c r="R25" s="84"/>
    </row>
    <row r="26" spans="2:18" s="38" customFormat="1" ht="19.5" customHeight="1">
      <c r="B26" s="1247" t="s">
        <v>595</v>
      </c>
      <c r="C26" s="1248"/>
      <c r="D26" s="740"/>
      <c r="E26" s="740"/>
      <c r="F26" s="740"/>
      <c r="G26" s="770"/>
      <c r="H26" s="740"/>
      <c r="I26" s="122">
        <f>IF(ISERROR(D26/(F26-E26)),"",D26/(F26-E26))</f>
      </c>
      <c r="J26" s="122">
        <f>IF(ISERROR((F26-D26)/E26),"",(F26-D26)/E26)</f>
      </c>
      <c r="K26" s="766"/>
      <c r="L26" s="637">
        <f>+IF(ISERROR((D26+K26*E26)/(F26*K26)),"",(D26+K26*E26)/(F26*K26))</f>
      </c>
      <c r="M26" s="637">
        <f>IF(ISERROR(K26*L26),"",K26*L26)</f>
      </c>
      <c r="N26" s="128">
        <f>+IF(ISERROR(H26*(D26/(D26+E26*K26))),"",H26*(D26/(D26+E26*K26)))</f>
      </c>
      <c r="O26" s="122">
        <f>IF(ISERROR(H26-N26),"",H26-N26)</f>
      </c>
      <c r="P26" s="122">
        <f t="shared" si="0"/>
      </c>
      <c r="Q26" s="122">
        <f t="shared" si="0"/>
      </c>
      <c r="R26" s="84"/>
    </row>
    <row r="27" spans="2:18" s="38" customFormat="1" ht="19.5" customHeight="1">
      <c r="B27" s="87"/>
      <c r="C27" s="93"/>
      <c r="D27" s="740"/>
      <c r="E27" s="768"/>
      <c r="F27" s="740"/>
      <c r="G27" s="770"/>
      <c r="H27" s="766"/>
      <c r="I27" s="122">
        <f>IF(ISERROR(D27/(F27-#REF!)),"",D27/(F27-#REF!))</f>
      </c>
      <c r="J27" s="122">
        <f>IF(ISERROR((F27-D27)/#REF!),"",(F27-D27)/#REF!)</f>
      </c>
      <c r="K27" s="766"/>
      <c r="L27" s="637">
        <f>+IF(ISERROR((D27+K27*#REF!)/(F27*K27)),"",(D27+K27*#REF!)/(F27*K27))</f>
      </c>
      <c r="M27" s="637">
        <f>IF(ISERROR(K27*L27),"",K27*L27)</f>
      </c>
      <c r="N27" s="637">
        <f>+IF(ISERROR(H27*(D27/(D27+#REF!*K27))),"",H27*(D27/(D27+#REF!*K27)))</f>
      </c>
      <c r="O27" s="122">
        <f>IF(ISERROR(H27-N27),"",H27-N27)</f>
      </c>
      <c r="P27" s="122">
        <f t="shared" si="0"/>
      </c>
      <c r="Q27" s="122">
        <f>IF(ISERROR(O27*1000/#REF!),"",O27*1000/#REF!)</f>
      </c>
      <c r="R27" s="84"/>
    </row>
    <row r="28" spans="2:18" ht="19.5" customHeight="1">
      <c r="B28" s="55"/>
      <c r="C28" s="63"/>
      <c r="D28" s="61"/>
      <c r="E28" s="61"/>
      <c r="F28" s="61"/>
      <c r="G28" s="61"/>
      <c r="H28" s="61"/>
      <c r="I28" s="61"/>
      <c r="J28" s="61"/>
      <c r="K28" s="61"/>
      <c r="L28" s="61"/>
      <c r="M28" s="61"/>
      <c r="N28" s="216"/>
      <c r="O28" s="63"/>
      <c r="P28" s="216"/>
      <c r="Q28" s="206"/>
      <c r="R28" s="56"/>
    </row>
    <row r="29" spans="2:18" ht="13.5" thickBot="1">
      <c r="B29" s="78"/>
      <c r="C29" s="79"/>
      <c r="D29" s="79"/>
      <c r="E29" s="79"/>
      <c r="F29" s="79"/>
      <c r="G29" s="79"/>
      <c r="H29" s="79"/>
      <c r="I29" s="79"/>
      <c r="J29" s="79"/>
      <c r="K29" s="79"/>
      <c r="L29" s="79"/>
      <c r="M29" s="79"/>
      <c r="N29" s="79"/>
      <c r="O29" s="79"/>
      <c r="P29" s="79"/>
      <c r="Q29" s="79"/>
      <c r="R29" s="75"/>
    </row>
    <row r="30" ht="13.5" thickTop="1"/>
    <row r="33" spans="2:18" ht="75.75" customHeight="1">
      <c r="B33" s="1251" t="s">
        <v>675</v>
      </c>
      <c r="C33" s="1251"/>
      <c r="D33" s="1251"/>
      <c r="E33" s="1251"/>
      <c r="F33" s="1251"/>
      <c r="G33" s="1251"/>
      <c r="H33" s="1251"/>
      <c r="I33" s="1251"/>
      <c r="J33" s="1251"/>
      <c r="K33" s="1251"/>
      <c r="L33" s="1251"/>
      <c r="M33" s="1251"/>
      <c r="N33" s="1251"/>
      <c r="O33" s="1251"/>
      <c r="P33" s="1251"/>
      <c r="Q33" s="1251"/>
      <c r="R33" s="1251"/>
    </row>
    <row r="36" spans="12:13" ht="12.75">
      <c r="L36" s="133"/>
      <c r="M36" s="133"/>
    </row>
  </sheetData>
  <mergeCells count="13">
    <mergeCell ref="A1:W1"/>
    <mergeCell ref="B33:R33"/>
    <mergeCell ref="B2:O2"/>
    <mergeCell ref="C10:D10"/>
    <mergeCell ref="I20:J20"/>
    <mergeCell ref="D16:L16"/>
    <mergeCell ref="C14:K14"/>
    <mergeCell ref="B3:K3"/>
    <mergeCell ref="C9:E9"/>
    <mergeCell ref="C11:E11"/>
    <mergeCell ref="B25:C25"/>
    <mergeCell ref="B26:C26"/>
    <mergeCell ref="B23:C23"/>
  </mergeCells>
  <printOptions/>
  <pageMargins left="0.75" right="0.75" top="1" bottom="1" header="0.5" footer="0.5"/>
  <pageSetup fitToHeight="1" fitToWidth="1" horizontalDpi="600" verticalDpi="600" orientation="landscape" scale="43" r:id="rId1"/>
  <rowBreaks count="1" manualBreakCount="1">
    <brk id="11" max="255" man="1"/>
  </rowBreaks>
</worksheet>
</file>

<file path=xl/worksheets/sheet13.xml><?xml version="1.0" encoding="utf-8"?>
<worksheet xmlns="http://schemas.openxmlformats.org/spreadsheetml/2006/main" xmlns:r="http://schemas.openxmlformats.org/officeDocument/2006/relationships">
  <sheetPr codeName="Hoja12">
    <pageSetUpPr fitToPage="1"/>
  </sheetPr>
  <dimension ref="A1:W80"/>
  <sheetViews>
    <sheetView zoomScale="75" zoomScaleNormal="75" workbookViewId="0" topLeftCell="A1">
      <selection activeCell="C20" sqref="C20"/>
    </sheetView>
  </sheetViews>
  <sheetFormatPr defaultColWidth="11.421875" defaultRowHeight="12.75"/>
  <cols>
    <col min="1" max="1" width="9.140625" style="4" customWidth="1"/>
    <col min="2" max="2" width="22.140625" style="4" customWidth="1"/>
    <col min="3" max="3" width="31.57421875" style="4" customWidth="1"/>
    <col min="4" max="4" width="28.140625" style="4" customWidth="1"/>
    <col min="5" max="5" width="16.28125" style="4" customWidth="1"/>
    <col min="6" max="6" width="18.421875" style="4" customWidth="1"/>
    <col min="7" max="7" width="35.28125" style="4" customWidth="1"/>
    <col min="8" max="8" width="28.57421875" style="4" customWidth="1"/>
    <col min="9" max="9" width="7.57421875" style="4" customWidth="1"/>
    <col min="10" max="10" width="45.7109375" style="4" customWidth="1"/>
    <col min="11" max="16384" width="9.7109375" style="4" customWidth="1"/>
  </cols>
  <sheetData>
    <row r="1" spans="1:23" s="1" customFormat="1" ht="18" customHeight="1">
      <c r="A1" s="1228" t="s">
        <v>628</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1" customFormat="1" ht="23.25" customHeight="1"/>
    <row r="3" spans="3:19" s="1" customFormat="1" ht="24" customHeight="1">
      <c r="C3" s="1240" t="s">
        <v>676</v>
      </c>
      <c r="D3" s="1240"/>
      <c r="E3" s="1240"/>
      <c r="F3" s="1240"/>
      <c r="G3" s="1240"/>
      <c r="H3" s="1240"/>
      <c r="I3" s="1240"/>
      <c r="J3" s="1240"/>
      <c r="K3" s="1240"/>
      <c r="L3" s="1240"/>
      <c r="M3" s="1240"/>
      <c r="N3" s="1240"/>
      <c r="O3" s="1240"/>
      <c r="P3" s="1240"/>
      <c r="Q3" s="1240"/>
      <c r="R3" s="1240"/>
      <c r="S3" s="1240"/>
    </row>
    <row r="4" s="1" customFormat="1" ht="18" customHeight="1" thickBot="1">
      <c r="F4" s="559"/>
    </row>
    <row r="5" spans="2:7" s="1" customFormat="1" ht="18" customHeight="1" thickTop="1">
      <c r="B5" s="618" t="s">
        <v>207</v>
      </c>
      <c r="C5" s="611"/>
      <c r="D5" s="613"/>
      <c r="E5" s="611"/>
      <c r="G5" s="622"/>
    </row>
    <row r="6" spans="2:7" s="1" customFormat="1" ht="18" customHeight="1">
      <c r="B6" s="771"/>
      <c r="C6" s="970" t="s">
        <v>454</v>
      </c>
      <c r="D6" s="282"/>
      <c r="E6" s="150"/>
      <c r="G6" s="367"/>
    </row>
    <row r="7" spans="2:7" s="1" customFormat="1" ht="18" customHeight="1">
      <c r="B7" s="617"/>
      <c r="C7" s="970" t="s">
        <v>448</v>
      </c>
      <c r="D7" s="282"/>
      <c r="E7" s="576"/>
      <c r="G7" s="367"/>
    </row>
    <row r="8" spans="2:7" s="1" customFormat="1" ht="18" customHeight="1">
      <c r="B8" s="617"/>
      <c r="C8" s="970" t="s">
        <v>446</v>
      </c>
      <c r="E8" s="153"/>
      <c r="G8" s="367"/>
    </row>
    <row r="9" spans="2:7" s="1" customFormat="1" ht="18" customHeight="1" thickBot="1">
      <c r="B9" s="609"/>
      <c r="C9" s="559"/>
      <c r="D9" s="559"/>
      <c r="E9" s="559"/>
      <c r="F9" s="559"/>
      <c r="G9" s="610"/>
    </row>
    <row r="10" s="1" customFormat="1" ht="18" customHeight="1" thickBot="1" thickTop="1"/>
    <row r="11" spans="2:8" s="1" customFormat="1" ht="18" customHeight="1" thickTop="1">
      <c r="B11" s="52"/>
      <c r="C11" s="200" t="s">
        <v>677</v>
      </c>
      <c r="D11" s="53"/>
      <c r="E11" s="53"/>
      <c r="F11" s="53"/>
      <c r="G11" s="53"/>
      <c r="H11" s="54"/>
    </row>
    <row r="12" spans="2:8" s="1" customFormat="1" ht="18" customHeight="1">
      <c r="B12" s="55"/>
      <c r="C12" s="63"/>
      <c r="D12" s="63"/>
      <c r="E12" s="63"/>
      <c r="F12" s="63"/>
      <c r="G12" s="63"/>
      <c r="H12" s="56"/>
    </row>
    <row r="13" spans="2:8" ht="19.5" customHeight="1">
      <c r="B13" s="55"/>
      <c r="C13" s="3" t="s">
        <v>469</v>
      </c>
      <c r="D13" s="3" t="s">
        <v>470</v>
      </c>
      <c r="E13" s="17" t="s">
        <v>471</v>
      </c>
      <c r="F13" s="3" t="s">
        <v>156</v>
      </c>
      <c r="G13" s="3" t="s">
        <v>157</v>
      </c>
      <c r="H13" s="56"/>
    </row>
    <row r="14" spans="2:8" ht="19.5" customHeight="1">
      <c r="B14" s="55"/>
      <c r="C14" s="3" t="s">
        <v>409</v>
      </c>
      <c r="D14" s="3" t="s">
        <v>410</v>
      </c>
      <c r="E14" s="17" t="s">
        <v>414</v>
      </c>
      <c r="F14" s="3" t="s">
        <v>411</v>
      </c>
      <c r="G14" s="3" t="s">
        <v>412</v>
      </c>
      <c r="H14" s="56"/>
    </row>
    <row r="15" spans="2:8" ht="54" customHeight="1">
      <c r="B15" s="55"/>
      <c r="C15" s="5" t="s">
        <v>678</v>
      </c>
      <c r="D15" s="5" t="s">
        <v>296</v>
      </c>
      <c r="E15" s="5" t="s">
        <v>297</v>
      </c>
      <c r="F15" s="5" t="s">
        <v>298</v>
      </c>
      <c r="G15" s="8" t="s">
        <v>679</v>
      </c>
      <c r="H15" s="56"/>
    </row>
    <row r="16" spans="2:8" ht="27.75" customHeight="1">
      <c r="B16" s="55"/>
      <c r="C16" s="6"/>
      <c r="D16" s="8" t="s">
        <v>465</v>
      </c>
      <c r="E16" s="6"/>
      <c r="F16" s="34"/>
      <c r="G16" s="34" t="s">
        <v>299</v>
      </c>
      <c r="H16" s="56"/>
    </row>
    <row r="17" spans="2:8" ht="19.5" customHeight="1">
      <c r="B17" s="55"/>
      <c r="C17" s="7" t="s">
        <v>880</v>
      </c>
      <c r="D17" s="7" t="s">
        <v>880</v>
      </c>
      <c r="E17" s="9"/>
      <c r="F17" s="9" t="s">
        <v>300</v>
      </c>
      <c r="G17" s="9" t="s">
        <v>680</v>
      </c>
      <c r="H17" s="56"/>
    </row>
    <row r="18" spans="2:8" ht="42" customHeight="1">
      <c r="B18" s="55"/>
      <c r="C18" s="67">
        <v>114</v>
      </c>
      <c r="D18" s="82" t="s">
        <v>275</v>
      </c>
      <c r="E18" s="750">
        <v>2001</v>
      </c>
      <c r="F18" s="122">
        <v>0.6521</v>
      </c>
      <c r="G18" s="122">
        <f>C18*F18</f>
        <v>74.3394</v>
      </c>
      <c r="H18" s="56"/>
    </row>
    <row r="19" spans="2:8" s="13" customFormat="1" ht="19.5" customHeight="1">
      <c r="B19" s="80"/>
      <c r="C19" s="110" t="s">
        <v>681</v>
      </c>
      <c r="D19" s="12"/>
      <c r="E19" s="12"/>
      <c r="F19" s="20"/>
      <c r="G19" s="20"/>
      <c r="H19" s="103"/>
    </row>
    <row r="20" spans="2:8" ht="22.5" customHeight="1">
      <c r="B20" s="55"/>
      <c r="C20" s="120"/>
      <c r="D20" s="766"/>
      <c r="E20" s="157"/>
      <c r="F20" s="1054"/>
      <c r="G20" s="122">
        <f>C20*F20</f>
        <v>0</v>
      </c>
      <c r="H20" s="56"/>
    </row>
    <row r="21" spans="2:8" ht="22.5" customHeight="1">
      <c r="B21" s="55"/>
      <c r="C21" s="120"/>
      <c r="D21" s="766"/>
      <c r="E21" s="157"/>
      <c r="F21" s="1054"/>
      <c r="G21" s="122">
        <f aca="true" t="shared" si="0" ref="G21:G29">C21*F21</f>
        <v>0</v>
      </c>
      <c r="H21" s="56"/>
    </row>
    <row r="22" spans="2:8" ht="22.5" customHeight="1">
      <c r="B22" s="55"/>
      <c r="C22" s="736"/>
      <c r="D22" s="748"/>
      <c r="E22" s="157"/>
      <c r="F22" s="1054"/>
      <c r="G22" s="122">
        <f t="shared" si="0"/>
        <v>0</v>
      </c>
      <c r="H22" s="56"/>
    </row>
    <row r="23" spans="2:8" ht="22.5" customHeight="1">
      <c r="B23" s="55"/>
      <c r="C23" s="736"/>
      <c r="D23" s="748"/>
      <c r="E23" s="157"/>
      <c r="F23" s="1054"/>
      <c r="G23" s="122">
        <f t="shared" si="0"/>
        <v>0</v>
      </c>
      <c r="H23" s="56"/>
    </row>
    <row r="24" spans="2:8" ht="22.5" customHeight="1">
      <c r="B24" s="55"/>
      <c r="C24" s="737"/>
      <c r="D24" s="748"/>
      <c r="E24" s="157"/>
      <c r="F24" s="1054"/>
      <c r="G24" s="122">
        <f t="shared" si="0"/>
        <v>0</v>
      </c>
      <c r="H24" s="56"/>
    </row>
    <row r="25" spans="2:8" ht="22.5" customHeight="1">
      <c r="B25" s="55"/>
      <c r="C25" s="736"/>
      <c r="D25" s="748"/>
      <c r="E25" s="157"/>
      <c r="F25" s="1054"/>
      <c r="G25" s="122">
        <f t="shared" si="0"/>
        <v>0</v>
      </c>
      <c r="H25" s="56"/>
    </row>
    <row r="26" spans="2:8" ht="22.5" customHeight="1">
      <c r="B26" s="55"/>
      <c r="C26" s="737"/>
      <c r="D26" s="748"/>
      <c r="E26" s="157"/>
      <c r="F26" s="1054"/>
      <c r="G26" s="122">
        <f t="shared" si="0"/>
        <v>0</v>
      </c>
      <c r="H26" s="56"/>
    </row>
    <row r="27" spans="2:8" ht="22.5" customHeight="1">
      <c r="B27" s="55"/>
      <c r="C27" s="737"/>
      <c r="D27" s="772"/>
      <c r="E27" s="157"/>
      <c r="F27" s="1054"/>
      <c r="G27" s="122">
        <f t="shared" si="0"/>
        <v>0</v>
      </c>
      <c r="H27" s="56"/>
    </row>
    <row r="28" spans="2:8" ht="22.5" customHeight="1">
      <c r="B28" s="55"/>
      <c r="C28" s="736"/>
      <c r="D28" s="748"/>
      <c r="E28" s="772"/>
      <c r="F28" s="1054"/>
      <c r="G28" s="122">
        <f t="shared" si="0"/>
        <v>0</v>
      </c>
      <c r="H28" s="56"/>
    </row>
    <row r="29" spans="2:8" ht="22.5" customHeight="1">
      <c r="B29" s="55"/>
      <c r="C29" s="736"/>
      <c r="D29" s="748"/>
      <c r="E29" s="748"/>
      <c r="F29" s="1054"/>
      <c r="G29" s="122">
        <f t="shared" si="0"/>
        <v>0</v>
      </c>
      <c r="H29" s="56"/>
    </row>
    <row r="30" spans="2:8" ht="19.5" customHeight="1">
      <c r="B30" s="55"/>
      <c r="C30" s="63"/>
      <c r="D30" s="63"/>
      <c r="E30" s="63"/>
      <c r="F30" s="63"/>
      <c r="G30" s="63"/>
      <c r="H30" s="56"/>
    </row>
    <row r="31" spans="2:8" s="14" customFormat="1" ht="19.5" customHeight="1">
      <c r="B31" s="76"/>
      <c r="C31" s="1265" t="s">
        <v>301</v>
      </c>
      <c r="D31" s="1191"/>
      <c r="E31" s="1266"/>
      <c r="F31" s="130">
        <f>SUM(G20:G29)</f>
        <v>0</v>
      </c>
      <c r="G31" s="77"/>
      <c r="H31" s="104"/>
    </row>
    <row r="32" spans="2:8" s="14" customFormat="1" ht="19.5" customHeight="1">
      <c r="B32" s="76"/>
      <c r="C32" s="77"/>
      <c r="D32" s="77"/>
      <c r="E32" s="77"/>
      <c r="F32" s="77"/>
      <c r="G32" s="77"/>
      <c r="H32" s="104"/>
    </row>
    <row r="33" spans="2:8" s="14" customFormat="1" ht="57" customHeight="1">
      <c r="B33" s="76"/>
      <c r="C33" s="1267" t="s">
        <v>682</v>
      </c>
      <c r="D33" s="1268"/>
      <c r="E33" s="1268"/>
      <c r="F33" s="1268"/>
      <c r="G33" s="1268"/>
      <c r="H33" s="104"/>
    </row>
    <row r="34" spans="2:8" ht="19.5" customHeight="1" thickBot="1">
      <c r="B34" s="78"/>
      <c r="C34" s="79"/>
      <c r="D34" s="79"/>
      <c r="E34" s="79"/>
      <c r="F34" s="79"/>
      <c r="G34" s="79"/>
      <c r="H34" s="75"/>
    </row>
    <row r="35" ht="13.5" thickTop="1"/>
    <row r="36" ht="12.75"/>
    <row r="37" spans="3:7" ht="15">
      <c r="C37" s="170" t="s">
        <v>674</v>
      </c>
      <c r="D37" s="168"/>
      <c r="E37" s="168"/>
      <c r="F37" s="168"/>
      <c r="G37" s="2"/>
    </row>
    <row r="38" spans="3:7" ht="15">
      <c r="C38" s="170"/>
      <c r="D38" s="168"/>
      <c r="E38" s="168"/>
      <c r="F38" s="168"/>
      <c r="G38" s="2"/>
    </row>
    <row r="39" spans="3:7" ht="15">
      <c r="C39" s="170"/>
      <c r="D39" s="168"/>
      <c r="E39" s="168"/>
      <c r="F39" s="168"/>
      <c r="G39" s="2"/>
    </row>
    <row r="40" spans="3:7" ht="15">
      <c r="C40" s="170"/>
      <c r="D40" s="168"/>
      <c r="E40" s="168"/>
      <c r="F40" s="168"/>
      <c r="G40" s="2"/>
    </row>
    <row r="41" spans="3:7" ht="15">
      <c r="C41" s="170"/>
      <c r="D41" s="168"/>
      <c r="E41" s="168"/>
      <c r="F41" s="168"/>
      <c r="G41" s="2"/>
    </row>
    <row r="42" spans="3:7" ht="15">
      <c r="C42" s="170"/>
      <c r="D42" s="168"/>
      <c r="E42" s="168"/>
      <c r="F42" s="168"/>
      <c r="G42" s="2"/>
    </row>
    <row r="43" spans="3:7" ht="15">
      <c r="C43" s="170"/>
      <c r="D43" s="168"/>
      <c r="E43" s="168"/>
      <c r="F43" s="168"/>
      <c r="G43" s="2"/>
    </row>
    <row r="44" spans="3:7" ht="15">
      <c r="C44" s="170"/>
      <c r="D44" s="168"/>
      <c r="E44" s="168"/>
      <c r="F44" s="168"/>
      <c r="G44" s="2"/>
    </row>
    <row r="45" spans="3:7" ht="15">
      <c r="C45" s="170"/>
      <c r="D45" s="168"/>
      <c r="E45" s="168"/>
      <c r="F45" s="168"/>
      <c r="G45" s="2"/>
    </row>
    <row r="46" spans="3:7" ht="15">
      <c r="C46" s="170"/>
      <c r="D46" s="168"/>
      <c r="E46" s="168"/>
      <c r="F46" s="168"/>
      <c r="G46" s="2"/>
    </row>
    <row r="47" spans="3:7" ht="15">
      <c r="C47" s="170"/>
      <c r="D47" s="168"/>
      <c r="E47" s="168"/>
      <c r="F47" s="168"/>
      <c r="G47" s="2"/>
    </row>
    <row r="48" spans="3:7" ht="15">
      <c r="C48" s="170"/>
      <c r="D48" s="168"/>
      <c r="E48" s="168"/>
      <c r="F48" s="168"/>
      <c r="G48" s="2"/>
    </row>
    <row r="49" spans="3:7" ht="15">
      <c r="C49" s="170"/>
      <c r="D49" s="168"/>
      <c r="E49" s="168"/>
      <c r="F49" s="168"/>
      <c r="G49" s="2"/>
    </row>
    <row r="50" spans="3:7" ht="15">
      <c r="C50" s="170"/>
      <c r="D50" s="168"/>
      <c r="E50" s="168"/>
      <c r="F50" s="168"/>
      <c r="G50" s="2"/>
    </row>
    <row r="51" spans="3:7" ht="15">
      <c r="C51" s="170"/>
      <c r="F51" s="168"/>
      <c r="G51" s="2"/>
    </row>
    <row r="52" spans="3:7" ht="15">
      <c r="C52" s="170"/>
      <c r="D52" s="168"/>
      <c r="E52" s="168" t="s">
        <v>294</v>
      </c>
      <c r="F52" s="168"/>
      <c r="G52" s="2"/>
    </row>
    <row r="53" spans="3:7" ht="15">
      <c r="C53" s="170"/>
      <c r="D53" s="168"/>
      <c r="E53" s="168"/>
      <c r="F53" s="168"/>
      <c r="G53" s="2"/>
    </row>
    <row r="54" spans="3:7" ht="15">
      <c r="C54" s="170"/>
      <c r="D54" s="168"/>
      <c r="E54" s="168"/>
      <c r="F54" s="168"/>
      <c r="G54" s="2"/>
    </row>
    <row r="55" spans="3:7" ht="15">
      <c r="C55" s="170"/>
      <c r="D55" s="168"/>
      <c r="E55" s="168"/>
      <c r="F55" s="168"/>
      <c r="G55" s="2"/>
    </row>
    <row r="56" spans="2:8" ht="15.75" thickBot="1">
      <c r="B56" s="206"/>
      <c r="C56" s="794"/>
      <c r="D56" s="794"/>
      <c r="E56" s="794"/>
      <c r="F56" s="794"/>
      <c r="G56" s="795"/>
      <c r="H56" s="206"/>
    </row>
    <row r="57" spans="2:8" ht="15.75" thickBot="1">
      <c r="B57" s="206"/>
      <c r="C57" s="1272" t="s">
        <v>269</v>
      </c>
      <c r="D57" s="1273"/>
      <c r="E57" s="1273"/>
      <c r="F57" s="1273"/>
      <c r="G57" s="1274"/>
      <c r="H57" s="206"/>
    </row>
    <row r="58" spans="2:8" ht="16.5" thickBot="1">
      <c r="B58" s="206"/>
      <c r="C58" s="781"/>
      <c r="D58" s="1269" t="s">
        <v>440</v>
      </c>
      <c r="E58" s="1270"/>
      <c r="F58" s="1270"/>
      <c r="G58" s="1271"/>
      <c r="H58" s="206"/>
    </row>
    <row r="59" spans="2:8" ht="13.5" thickBot="1">
      <c r="B59" s="206"/>
      <c r="C59" s="782" t="s">
        <v>274</v>
      </c>
      <c r="D59" s="790" t="s">
        <v>270</v>
      </c>
      <c r="E59" s="790" t="s">
        <v>271</v>
      </c>
      <c r="F59" s="790" t="s">
        <v>272</v>
      </c>
      <c r="G59" s="790" t="s">
        <v>273</v>
      </c>
      <c r="H59" s="206"/>
    </row>
    <row r="60" spans="2:8" ht="12.75">
      <c r="B60" s="206"/>
      <c r="C60" s="783" t="s">
        <v>275</v>
      </c>
      <c r="D60" s="788">
        <v>0.6521</v>
      </c>
      <c r="E60" s="791">
        <v>0.5647</v>
      </c>
      <c r="F60" s="788">
        <v>0.6834</v>
      </c>
      <c r="G60" s="791">
        <v>0.716</v>
      </c>
      <c r="H60" s="206"/>
    </row>
    <row r="61" spans="2:8" ht="12.75">
      <c r="B61" s="206"/>
      <c r="C61" s="783" t="s">
        <v>276</v>
      </c>
      <c r="D61" s="784">
        <v>0.6157</v>
      </c>
      <c r="E61" s="786">
        <v>0.5332</v>
      </c>
      <c r="F61" s="784">
        <v>0.6453</v>
      </c>
      <c r="G61" s="786">
        <v>0.676</v>
      </c>
      <c r="H61" s="206"/>
    </row>
    <row r="62" spans="2:8" ht="12.75">
      <c r="B62" s="206"/>
      <c r="C62" s="783" t="s">
        <v>277</v>
      </c>
      <c r="D62" s="784">
        <v>0.6029</v>
      </c>
      <c r="E62" s="786">
        <v>0.5221</v>
      </c>
      <c r="F62" s="784">
        <v>0.6318</v>
      </c>
      <c r="G62" s="786">
        <v>0.662</v>
      </c>
      <c r="H62" s="206"/>
    </row>
    <row r="63" spans="2:8" ht="12.75">
      <c r="B63" s="206"/>
      <c r="C63" s="783" t="s">
        <v>278</v>
      </c>
      <c r="D63" s="784">
        <v>0.8085</v>
      </c>
      <c r="E63" s="786">
        <v>0.7002</v>
      </c>
      <c r="F63" s="784">
        <v>0.8473</v>
      </c>
      <c r="G63" s="786">
        <v>0.8877</v>
      </c>
      <c r="H63" s="206"/>
    </row>
    <row r="64" spans="2:8" ht="27" customHeight="1" thickBot="1">
      <c r="B64" s="206"/>
      <c r="C64" s="1065" t="s">
        <v>279</v>
      </c>
      <c r="D64" s="1066">
        <v>0.6539</v>
      </c>
      <c r="E64" s="1067">
        <v>0.5663</v>
      </c>
      <c r="F64" s="1066">
        <v>0.6853</v>
      </c>
      <c r="G64" s="1067">
        <v>0.718</v>
      </c>
      <c r="H64" s="206"/>
    </row>
    <row r="65" spans="2:8" ht="12.75">
      <c r="B65" s="206"/>
      <c r="C65" s="206"/>
      <c r="D65" s="206"/>
      <c r="E65" s="206"/>
      <c r="F65" s="206"/>
      <c r="G65" s="206"/>
      <c r="H65" s="206"/>
    </row>
    <row r="66" ht="13.5" thickBot="1"/>
    <row r="67" spans="2:8" ht="14.25" thickBot="1" thickTop="1">
      <c r="B67" s="52"/>
      <c r="C67" s="53"/>
      <c r="D67" s="53"/>
      <c r="E67" s="53"/>
      <c r="F67" s="53"/>
      <c r="G67" s="53"/>
      <c r="H67" s="54"/>
    </row>
    <row r="68" spans="2:8" ht="16.5" thickBot="1">
      <c r="B68" s="55"/>
      <c r="C68" s="1262" t="s">
        <v>280</v>
      </c>
      <c r="D68" s="1263"/>
      <c r="E68" s="1263"/>
      <c r="F68" s="1263"/>
      <c r="G68" s="1263"/>
      <c r="H68" s="1264"/>
    </row>
    <row r="69" spans="2:8" ht="28.5" customHeight="1" thickBot="1">
      <c r="B69" s="55"/>
      <c r="C69" s="793" t="s">
        <v>281</v>
      </c>
      <c r="D69" s="792" t="s">
        <v>275</v>
      </c>
      <c r="E69" s="792" t="s">
        <v>276</v>
      </c>
      <c r="F69" s="789" t="s">
        <v>277</v>
      </c>
      <c r="G69" s="792" t="s">
        <v>278</v>
      </c>
      <c r="H69" s="1050" t="s">
        <v>295</v>
      </c>
    </row>
    <row r="70" spans="1:10" ht="12.75" customHeight="1">
      <c r="A70" s="1063">
        <v>6</v>
      </c>
      <c r="B70" s="55"/>
      <c r="C70" s="791">
        <v>2001</v>
      </c>
      <c r="D70" s="788">
        <v>0.6521</v>
      </c>
      <c r="E70" s="791">
        <v>0.6157</v>
      </c>
      <c r="F70" s="788">
        <v>0.6029</v>
      </c>
      <c r="G70" s="791">
        <v>0.8085</v>
      </c>
      <c r="H70" s="1051">
        <v>0.6539</v>
      </c>
      <c r="I70" s="1058">
        <v>11</v>
      </c>
      <c r="J70" s="1059" t="s">
        <v>275</v>
      </c>
    </row>
    <row r="71" spans="1:10" ht="12.75" customHeight="1">
      <c r="A71" s="1063">
        <v>6</v>
      </c>
      <c r="B71" s="55"/>
      <c r="C71" s="791">
        <v>2002</v>
      </c>
      <c r="D71" s="788">
        <v>0.6312</v>
      </c>
      <c r="E71" s="791">
        <v>0.6157</v>
      </c>
      <c r="F71" s="788">
        <v>0.6029</v>
      </c>
      <c r="G71" s="791">
        <v>0.8085</v>
      </c>
      <c r="H71" s="1052">
        <v>0</v>
      </c>
      <c r="I71" s="1058">
        <v>11</v>
      </c>
      <c r="J71" s="1060" t="s">
        <v>303</v>
      </c>
    </row>
    <row r="72" spans="1:10" ht="12.75">
      <c r="A72" s="1063">
        <v>6</v>
      </c>
      <c r="B72" s="55"/>
      <c r="C72" s="786">
        <v>2003</v>
      </c>
      <c r="D72" s="784">
        <v>0.5827</v>
      </c>
      <c r="E72" s="786">
        <v>0.6131</v>
      </c>
      <c r="F72" s="784">
        <v>0.5199</v>
      </c>
      <c r="G72" s="786">
        <v>0.8085</v>
      </c>
      <c r="H72" s="1051">
        <v>0</v>
      </c>
      <c r="I72" s="1061">
        <v>11</v>
      </c>
      <c r="J72" s="1059" t="s">
        <v>277</v>
      </c>
    </row>
    <row r="73" spans="1:10" ht="12.75">
      <c r="A73" s="1063">
        <v>6</v>
      </c>
      <c r="B73" s="55"/>
      <c r="C73" s="786">
        <v>2004</v>
      </c>
      <c r="D73" s="784">
        <v>0.5583</v>
      </c>
      <c r="E73" s="786">
        <v>0.6611</v>
      </c>
      <c r="F73" s="784">
        <v>0.5199</v>
      </c>
      <c r="G73" s="786">
        <v>0.7686</v>
      </c>
      <c r="H73" s="1051">
        <v>0</v>
      </c>
      <c r="I73" s="1061">
        <v>11</v>
      </c>
      <c r="J73" s="1060" t="s">
        <v>302</v>
      </c>
    </row>
    <row r="74" spans="1:10" ht="12.75">
      <c r="A74" s="1063">
        <v>6</v>
      </c>
      <c r="B74" s="55"/>
      <c r="C74" s="786">
        <v>2005</v>
      </c>
      <c r="D74" s="784">
        <v>0.5546</v>
      </c>
      <c r="E74" s="786">
        <v>0.6611</v>
      </c>
      <c r="F74" s="784">
        <v>0.5199</v>
      </c>
      <c r="G74" s="786">
        <v>0.7686</v>
      </c>
      <c r="H74" s="1051">
        <v>0</v>
      </c>
      <c r="I74" s="1058">
        <v>11</v>
      </c>
      <c r="J74" s="1062" t="s">
        <v>295</v>
      </c>
    </row>
    <row r="75" spans="1:10" ht="12.75">
      <c r="A75" s="1063">
        <v>6</v>
      </c>
      <c r="B75" s="55"/>
      <c r="C75" s="786">
        <v>2006</v>
      </c>
      <c r="D75" s="784">
        <v>0.5468</v>
      </c>
      <c r="E75" s="786">
        <v>0.6611</v>
      </c>
      <c r="F75" s="784">
        <v>0.4987</v>
      </c>
      <c r="G75" s="786">
        <v>0.7685</v>
      </c>
      <c r="H75" s="1051">
        <v>0</v>
      </c>
      <c r="I75" s="1061">
        <v>11</v>
      </c>
      <c r="J75" s="1058"/>
    </row>
    <row r="76" spans="1:10" ht="12.75">
      <c r="A76" s="1063">
        <v>6</v>
      </c>
      <c r="B76" s="55"/>
      <c r="C76" s="786">
        <v>2007</v>
      </c>
      <c r="D76" s="784">
        <v>0.5288</v>
      </c>
      <c r="E76" s="786">
        <v>0.6619</v>
      </c>
      <c r="F76" s="784">
        <v>0.4992</v>
      </c>
      <c r="G76" s="786">
        <v>0.7694</v>
      </c>
      <c r="H76" s="1051">
        <v>0</v>
      </c>
      <c r="I76" s="1061">
        <v>11</v>
      </c>
      <c r="J76" s="1058"/>
    </row>
    <row r="77" spans="1:10" ht="12.75">
      <c r="A77" s="1063">
        <v>6</v>
      </c>
      <c r="B77" s="55"/>
      <c r="C77" s="786">
        <v>2008</v>
      </c>
      <c r="D77" s="784">
        <v>0.5368</v>
      </c>
      <c r="E77" s="786">
        <v>0.6126</v>
      </c>
      <c r="F77" s="784">
        <v>0.5104</v>
      </c>
      <c r="G77" s="786">
        <v>0.7866</v>
      </c>
      <c r="H77" s="1051">
        <v>0</v>
      </c>
      <c r="I77" s="1061">
        <v>11</v>
      </c>
      <c r="J77" s="1058"/>
    </row>
    <row r="78" spans="1:10" ht="12.75">
      <c r="A78" s="1063">
        <v>6</v>
      </c>
      <c r="B78" s="55"/>
      <c r="C78" s="786">
        <v>2009</v>
      </c>
      <c r="D78" s="784">
        <v>0.5487</v>
      </c>
      <c r="E78" s="786">
        <v>0.5955</v>
      </c>
      <c r="F78" s="784">
        <v>0.5238</v>
      </c>
      <c r="G78" s="786">
        <v>0.8009</v>
      </c>
      <c r="H78" s="1051">
        <v>0</v>
      </c>
      <c r="I78" s="1061">
        <v>11</v>
      </c>
      <c r="J78" s="1058"/>
    </row>
    <row r="79" spans="1:10" ht="13.5" thickBot="1">
      <c r="A79" s="1063">
        <v>6</v>
      </c>
      <c r="B79" s="55"/>
      <c r="C79" s="787">
        <v>2010</v>
      </c>
      <c r="D79" s="785">
        <v>0.5285</v>
      </c>
      <c r="E79" s="787">
        <v>0.5677</v>
      </c>
      <c r="F79" s="785">
        <v>0.5187</v>
      </c>
      <c r="G79" s="787">
        <v>0.7466</v>
      </c>
      <c r="H79" s="1053">
        <v>0</v>
      </c>
      <c r="I79" s="1061">
        <v>11</v>
      </c>
      <c r="J79" s="1058"/>
    </row>
    <row r="80" spans="2:9" ht="13.5" thickBot="1">
      <c r="B80" s="78"/>
      <c r="C80" s="79"/>
      <c r="D80" s="79"/>
      <c r="E80" s="79"/>
      <c r="F80" s="79"/>
      <c r="G80" s="79"/>
      <c r="H80" s="75"/>
      <c r="I80" s="133"/>
    </row>
    <row r="81" ht="13.5" thickTop="1"/>
  </sheetData>
  <mergeCells count="7">
    <mergeCell ref="C68:H68"/>
    <mergeCell ref="C31:E31"/>
    <mergeCell ref="C33:G33"/>
    <mergeCell ref="A1:W1"/>
    <mergeCell ref="C3:S3"/>
    <mergeCell ref="D58:G58"/>
    <mergeCell ref="C57:G57"/>
  </mergeCells>
  <printOptions horizontalCentered="1"/>
  <pageMargins left="0.75" right="0.75" top="1" bottom="1" header="0.5" footer="0.5"/>
  <pageSetup fitToHeight="1" fitToWidth="1" horizontalDpi="600" verticalDpi="600" orientation="portrait" paperSize="9" scale="64" r:id="rId4"/>
  <rowBreaks count="1" manualBreakCount="1">
    <brk id="8"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Hoja14">
    <pageSetUpPr fitToPage="1"/>
  </sheetPr>
  <dimension ref="A1:W25"/>
  <sheetViews>
    <sheetView zoomScale="80" zoomScaleNormal="80" workbookViewId="0" topLeftCell="A19">
      <selection activeCell="C21" sqref="C21"/>
    </sheetView>
  </sheetViews>
  <sheetFormatPr defaultColWidth="11.421875" defaultRowHeight="12.75"/>
  <cols>
    <col min="1" max="1" width="7.28125" style="0" customWidth="1"/>
    <col min="2" max="2" width="10.7109375" style="0" customWidth="1"/>
    <col min="3" max="3" width="37.421875" style="0" customWidth="1"/>
    <col min="4" max="4" width="36.8515625" style="0" customWidth="1"/>
    <col min="5" max="5" width="30.00390625" style="0" customWidth="1"/>
    <col min="6" max="6" width="6.8515625" style="0" customWidth="1"/>
    <col min="7" max="7" width="5.00390625" style="0" customWidth="1"/>
    <col min="8" max="8" width="13.00390625" style="0" customWidth="1"/>
    <col min="9" max="12" width="9.140625" style="0" hidden="1" customWidth="1"/>
    <col min="13" max="16384" width="9.140625" style="0" customWidth="1"/>
  </cols>
  <sheetData>
    <row r="1" spans="1:23" ht="18" customHeight="1">
      <c r="A1" s="1228" t="s">
        <v>628</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pans="2:19" ht="38.25" customHeight="1">
      <c r="B2" s="1261" t="s">
        <v>305</v>
      </c>
      <c r="C2" s="1261"/>
      <c r="D2" s="1261"/>
      <c r="E2" s="1261"/>
      <c r="F2" s="1261"/>
      <c r="G2" s="1261"/>
      <c r="H2" s="1261"/>
      <c r="I2" s="975"/>
      <c r="J2" s="975"/>
      <c r="K2" s="975"/>
      <c r="L2" s="975"/>
      <c r="M2" s="975"/>
      <c r="N2" s="975"/>
      <c r="O2" s="975"/>
      <c r="P2" s="975"/>
      <c r="Q2" s="975"/>
      <c r="R2" s="975"/>
      <c r="S2" s="975"/>
    </row>
    <row r="3" spans="2:8" ht="19.5" customHeight="1" thickBot="1">
      <c r="B3" s="1278" t="s">
        <v>306</v>
      </c>
      <c r="C3" s="1278"/>
      <c r="D3" s="1278"/>
      <c r="E3" s="1278"/>
      <c r="F3" s="1278"/>
      <c r="G3" s="1278"/>
      <c r="H3" s="1278"/>
    </row>
    <row r="4" spans="2:8" ht="30.75" customHeight="1" thickTop="1">
      <c r="B4" s="52"/>
      <c r="C4" s="200" t="s">
        <v>307</v>
      </c>
      <c r="D4" s="53"/>
      <c r="E4" s="728"/>
      <c r="F4" s="728"/>
      <c r="G4" s="728"/>
      <c r="H4" s="729"/>
    </row>
    <row r="5" spans="2:8" ht="19.5" customHeight="1">
      <c r="B5" s="55"/>
      <c r="C5" s="63"/>
      <c r="D5" s="63"/>
      <c r="E5" s="731"/>
      <c r="F5" s="731"/>
      <c r="G5" s="731"/>
      <c r="H5" s="732"/>
    </row>
    <row r="6" spans="2:8" ht="40.5" customHeight="1">
      <c r="B6" s="87"/>
      <c r="C6" s="42" t="s">
        <v>308</v>
      </c>
      <c r="D6" s="93"/>
      <c r="E6" s="731"/>
      <c r="F6" s="731"/>
      <c r="G6" s="731"/>
      <c r="H6" s="732"/>
    </row>
    <row r="7" spans="2:8" ht="19.5" customHeight="1">
      <c r="B7" s="218" t="s">
        <v>669</v>
      </c>
      <c r="C7" s="125">
        <v>19375</v>
      </c>
      <c r="D7" s="93"/>
      <c r="E7" s="731"/>
      <c r="F7" s="731"/>
      <c r="G7" s="731"/>
      <c r="H7" s="732"/>
    </row>
    <row r="8" spans="2:8" ht="19.5" customHeight="1">
      <c r="B8" s="87"/>
      <c r="C8" s="220"/>
      <c r="D8" s="93"/>
      <c r="E8" s="731"/>
      <c r="F8" s="731"/>
      <c r="G8" s="731"/>
      <c r="H8" s="732"/>
    </row>
    <row r="9" spans="2:8" ht="19.5" customHeight="1">
      <c r="B9" s="55"/>
      <c r="C9" s="263"/>
      <c r="D9" s="63"/>
      <c r="E9" s="731"/>
      <c r="F9" s="731"/>
      <c r="G9" s="731"/>
      <c r="H9" s="732"/>
    </row>
    <row r="10" spans="2:8" ht="18.75" customHeight="1" thickBot="1">
      <c r="B10" s="78"/>
      <c r="C10" s="79"/>
      <c r="D10" s="79"/>
      <c r="E10" s="733"/>
      <c r="F10" s="733"/>
      <c r="G10" s="733"/>
      <c r="H10" s="734"/>
    </row>
    <row r="11" spans="2:8" ht="17.25" customHeight="1" thickTop="1">
      <c r="B11" s="730"/>
      <c r="C11" s="731"/>
      <c r="D11" s="731"/>
      <c r="E11" s="731"/>
      <c r="F11" s="731"/>
      <c r="G11" s="731"/>
      <c r="H11" s="732"/>
    </row>
    <row r="12" spans="2:8" ht="13.5" thickBot="1">
      <c r="B12" s="55"/>
      <c r="C12" s="63"/>
      <c r="D12" s="63"/>
      <c r="E12" s="63"/>
      <c r="F12" s="63"/>
      <c r="G12" s="63"/>
      <c r="H12" s="56"/>
    </row>
    <row r="13" spans="2:8" ht="34.5" customHeight="1" thickTop="1">
      <c r="B13" s="984" t="s">
        <v>670</v>
      </c>
      <c r="C13" s="728"/>
      <c r="D13" s="53"/>
      <c r="E13" s="53"/>
      <c r="F13" s="53"/>
      <c r="G13" s="53"/>
      <c r="H13" s="54"/>
    </row>
    <row r="14" spans="2:8" ht="12.75">
      <c r="B14" s="55"/>
      <c r="C14" s="63"/>
      <c r="D14" s="63"/>
      <c r="E14" s="63"/>
      <c r="F14" s="63"/>
      <c r="G14" s="63"/>
      <c r="H14" s="56"/>
    </row>
    <row r="15" spans="2:8" ht="108.75" customHeight="1">
      <c r="B15" s="55"/>
      <c r="C15" s="1275" t="s">
        <v>322</v>
      </c>
      <c r="D15" s="1276"/>
      <c r="E15" s="1277"/>
      <c r="F15" s="63"/>
      <c r="G15" s="63"/>
      <c r="H15" s="56"/>
    </row>
    <row r="16" spans="2:8" ht="24" customHeight="1">
      <c r="B16" s="55"/>
      <c r="C16" s="817" t="s">
        <v>469</v>
      </c>
      <c r="D16" s="817" t="s">
        <v>470</v>
      </c>
      <c r="E16" s="817" t="s">
        <v>471</v>
      </c>
      <c r="F16" s="63"/>
      <c r="G16" s="63"/>
      <c r="H16" s="56"/>
    </row>
    <row r="17" spans="2:8" ht="12.75">
      <c r="B17" s="55"/>
      <c r="C17" s="818" t="s">
        <v>409</v>
      </c>
      <c r="D17" s="818" t="s">
        <v>410</v>
      </c>
      <c r="E17" s="818" t="s">
        <v>414</v>
      </c>
      <c r="F17" s="63"/>
      <c r="G17" s="63"/>
      <c r="H17" s="56"/>
    </row>
    <row r="18" spans="2:8" ht="133.5" customHeight="1">
      <c r="B18" s="87"/>
      <c r="C18" s="42" t="s">
        <v>309</v>
      </c>
      <c r="D18" s="42" t="s">
        <v>310</v>
      </c>
      <c r="E18" s="42" t="s">
        <v>311</v>
      </c>
      <c r="F18" s="93"/>
      <c r="G18" s="63"/>
      <c r="H18" s="56"/>
    </row>
    <row r="19" spans="2:8" ht="18" customHeight="1">
      <c r="B19" s="218" t="s">
        <v>669</v>
      </c>
      <c r="C19" s="219">
        <v>47000</v>
      </c>
      <c r="D19" s="219">
        <v>0.9</v>
      </c>
      <c r="E19" s="219">
        <f>D19*C19/100</f>
        <v>423</v>
      </c>
      <c r="F19" s="93"/>
      <c r="G19" s="63"/>
      <c r="H19" s="56"/>
    </row>
    <row r="20" spans="2:8" ht="17.25" customHeight="1">
      <c r="B20" s="87"/>
      <c r="C20" s="220"/>
      <c r="D20" s="220"/>
      <c r="E20" s="220"/>
      <c r="F20" s="93"/>
      <c r="G20" s="63"/>
      <c r="H20" s="56"/>
    </row>
    <row r="21" spans="2:8" ht="19.5" customHeight="1">
      <c r="B21" s="55"/>
      <c r="C21" s="836"/>
      <c r="D21" s="263"/>
      <c r="E21" s="210">
        <f>D21*C21/100</f>
        <v>0</v>
      </c>
      <c r="F21" s="63"/>
      <c r="G21" s="63"/>
      <c r="H21" s="56"/>
    </row>
    <row r="22" spans="2:8" ht="13.5" thickBot="1">
      <c r="B22" s="78"/>
      <c r="C22" s="608"/>
      <c r="D22" s="608"/>
      <c r="E22" s="608"/>
      <c r="F22" s="79"/>
      <c r="G22" s="79"/>
      <c r="H22" s="75"/>
    </row>
    <row r="23" spans="1:8" ht="13.5" thickTop="1">
      <c r="A23" s="4"/>
      <c r="B23" s="1"/>
      <c r="C23" s="1"/>
      <c r="D23" s="1"/>
      <c r="E23" s="1"/>
      <c r="F23" s="1"/>
      <c r="G23" s="4"/>
      <c r="H23" s="4"/>
    </row>
    <row r="24" spans="2:5" ht="21.75" customHeight="1">
      <c r="B24" s="32"/>
      <c r="C24" s="32"/>
      <c r="D24" s="32"/>
      <c r="E24" s="32"/>
    </row>
    <row r="25" spans="2:4" ht="15" customHeight="1">
      <c r="B25" s="32"/>
      <c r="C25" s="32"/>
      <c r="D25" s="32"/>
    </row>
    <row r="26" s="208" customFormat="1" ht="63.75" customHeight="1"/>
    <row r="27" s="208" customFormat="1" ht="20.25" customHeight="1"/>
    <row r="28" s="208" customFormat="1" ht="13.5" customHeight="1"/>
    <row r="29" ht="19.5" customHeight="1"/>
    <row r="30" ht="25.5" customHeight="1"/>
  </sheetData>
  <mergeCells count="4">
    <mergeCell ref="C15:E15"/>
    <mergeCell ref="A1:W1"/>
    <mergeCell ref="B3:H3"/>
    <mergeCell ref="B2:H2"/>
  </mergeCells>
  <printOptions horizontalCentered="1"/>
  <pageMargins left="0.75" right="0.75" top="1" bottom="1" header="0.5" footer="0.5"/>
  <pageSetup fitToHeight="1" fitToWidth="1" horizontalDpi="600" verticalDpi="600" orientation="portrait" scale="64" r:id="rId1"/>
</worksheet>
</file>

<file path=xl/worksheets/sheet15.xml><?xml version="1.0" encoding="utf-8"?>
<worksheet xmlns="http://schemas.openxmlformats.org/spreadsheetml/2006/main" xmlns:r="http://schemas.openxmlformats.org/officeDocument/2006/relationships">
  <sheetPr codeName="Hoja19">
    <pageSetUpPr fitToPage="1"/>
  </sheetPr>
  <dimension ref="A1:W87"/>
  <sheetViews>
    <sheetView zoomScale="75" zoomScaleNormal="75" workbookViewId="0" topLeftCell="A1">
      <selection activeCell="A2" sqref="A2"/>
    </sheetView>
  </sheetViews>
  <sheetFormatPr defaultColWidth="11.421875" defaultRowHeight="12.75"/>
  <cols>
    <col min="1" max="1" width="4.57421875" style="0" customWidth="1"/>
    <col min="2" max="2" width="5.8515625" style="0" customWidth="1"/>
    <col min="3" max="3" width="33.7109375" style="0" customWidth="1"/>
    <col min="4" max="4" width="24.140625" style="0" customWidth="1"/>
    <col min="5" max="5" width="16.421875" style="0" customWidth="1"/>
    <col min="6" max="6" width="16.7109375" style="0" customWidth="1"/>
    <col min="7" max="7" width="22.421875" style="0" customWidth="1"/>
    <col min="8" max="8" width="23.57421875" style="0" customWidth="1"/>
    <col min="9" max="9" width="23.28125" style="0" customWidth="1"/>
    <col min="10" max="10" width="18.8515625" style="0" customWidth="1"/>
    <col min="11" max="11" width="13.421875" style="0" customWidth="1"/>
    <col min="12" max="16384" width="9.140625" style="0" customWidth="1"/>
  </cols>
  <sheetData>
    <row r="1" spans="1:23" s="4" customFormat="1" ht="21.75" customHeight="1">
      <c r="A1" s="1228" t="s">
        <v>628</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pans="5:7" s="4" customFormat="1" ht="18" customHeight="1">
      <c r="E2" s="133"/>
      <c r="F2" s="133"/>
      <c r="G2" s="133"/>
    </row>
    <row r="3" spans="2:7" s="4" customFormat="1" ht="24" customHeight="1">
      <c r="B3" s="1"/>
      <c r="C3" s="1287" t="s">
        <v>937</v>
      </c>
      <c r="D3" s="1287"/>
      <c r="E3" s="1287"/>
      <c r="F3" s="1287"/>
      <c r="G3" s="1287"/>
    </row>
    <row r="4" spans="2:7" s="4" customFormat="1" ht="45" customHeight="1" thickBot="1">
      <c r="B4" s="1297" t="s">
        <v>938</v>
      </c>
      <c r="C4" s="1298"/>
      <c r="D4" s="1298"/>
      <c r="E4" s="1298"/>
      <c r="F4" s="1298"/>
      <c r="G4" s="1298"/>
    </row>
    <row r="5" spans="2:10" s="4" customFormat="1" ht="146.25" customHeight="1" thickTop="1">
      <c r="B5" s="1291" t="s">
        <v>939</v>
      </c>
      <c r="C5" s="1292"/>
      <c r="D5" s="1292"/>
      <c r="E5" s="1292"/>
      <c r="F5" s="1292"/>
      <c r="G5" s="1293"/>
      <c r="H5" s="632"/>
      <c r="I5" s="632"/>
      <c r="J5" s="632"/>
    </row>
    <row r="6" spans="2:10" s="4" customFormat="1" ht="15" customHeight="1">
      <c r="B6" s="980"/>
      <c r="C6" s="633"/>
      <c r="D6" s="633"/>
      <c r="E6" s="633"/>
      <c r="F6" s="633"/>
      <c r="G6" s="981"/>
      <c r="H6" s="632"/>
      <c r="I6" s="632"/>
      <c r="J6" s="632"/>
    </row>
    <row r="7" spans="2:10" s="4" customFormat="1" ht="83.25" customHeight="1">
      <c r="B7" s="1294" t="s">
        <v>0</v>
      </c>
      <c r="C7" s="1295"/>
      <c r="D7" s="1295"/>
      <c r="E7" s="1295"/>
      <c r="F7" s="1295"/>
      <c r="G7" s="1296"/>
      <c r="H7" s="632"/>
      <c r="I7" s="632"/>
      <c r="J7" s="632"/>
    </row>
    <row r="8" spans="2:7" s="4" customFormat="1" ht="18" customHeight="1">
      <c r="B8" s="617"/>
      <c r="C8" s="1"/>
      <c r="D8" s="1"/>
      <c r="E8" s="1"/>
      <c r="F8" s="1"/>
      <c r="G8" s="367"/>
    </row>
    <row r="9" spans="2:10" s="4" customFormat="1" ht="174" customHeight="1">
      <c r="B9" s="1294" t="s">
        <v>1</v>
      </c>
      <c r="C9" s="1295"/>
      <c r="D9" s="1295"/>
      <c r="E9" s="1295"/>
      <c r="F9" s="1295"/>
      <c r="G9" s="1296"/>
      <c r="H9" s="632"/>
      <c r="I9" s="632"/>
      <c r="J9" s="632"/>
    </row>
    <row r="10" spans="2:10" s="4" customFormat="1" ht="145.5" customHeight="1" thickBot="1">
      <c r="B10" s="1288" t="s">
        <v>2</v>
      </c>
      <c r="C10" s="1289"/>
      <c r="D10" s="1289"/>
      <c r="E10" s="1289"/>
      <c r="F10" s="1289"/>
      <c r="G10" s="1290"/>
      <c r="H10" s="632"/>
      <c r="I10" s="632"/>
      <c r="J10" s="632"/>
    </row>
    <row r="11" s="4" customFormat="1" ht="18" customHeight="1" thickTop="1"/>
    <row r="12" spans="1:7" s="4" customFormat="1" ht="18" customHeight="1" thickBot="1">
      <c r="A12"/>
      <c r="C12" s="39"/>
      <c r="D12" s="39"/>
      <c r="E12" s="133"/>
      <c r="F12" s="133"/>
      <c r="G12" s="133"/>
    </row>
    <row r="13" spans="1:7" s="4" customFormat="1" ht="27" customHeight="1" thickTop="1">
      <c r="A13"/>
      <c r="B13" s="618" t="s">
        <v>207</v>
      </c>
      <c r="C13" s="611"/>
      <c r="D13" s="611"/>
      <c r="E13" s="615"/>
      <c r="F13" s="133"/>
      <c r="G13" s="133"/>
    </row>
    <row r="14" spans="1:7" s="4" customFormat="1" ht="18" customHeight="1">
      <c r="A14"/>
      <c r="B14" s="1133" t="s">
        <v>447</v>
      </c>
      <c r="C14" s="1161"/>
      <c r="D14" s="150"/>
      <c r="E14" s="616"/>
      <c r="F14" s="133"/>
      <c r="G14" s="133"/>
    </row>
    <row r="15" spans="1:7" s="4" customFormat="1" ht="18" customHeight="1">
      <c r="A15"/>
      <c r="B15" s="1133" t="s">
        <v>3</v>
      </c>
      <c r="C15" s="1161"/>
      <c r="D15" s="151"/>
      <c r="E15" s="620"/>
      <c r="F15" s="133"/>
      <c r="G15" s="133"/>
    </row>
    <row r="16" spans="1:7" s="4" customFormat="1" ht="18" customHeight="1">
      <c r="A16"/>
      <c r="B16" s="1133" t="s">
        <v>449</v>
      </c>
      <c r="C16" s="1161"/>
      <c r="D16" s="152"/>
      <c r="E16" s="616"/>
      <c r="F16" s="133"/>
      <c r="G16" s="133"/>
    </row>
    <row r="17" spans="1:7" s="4" customFormat="1" ht="18" customHeight="1">
      <c r="A17"/>
      <c r="B17" s="1133" t="s">
        <v>446</v>
      </c>
      <c r="C17" s="1161"/>
      <c r="D17" s="153"/>
      <c r="E17" s="616"/>
      <c r="F17" s="133"/>
      <c r="G17" s="133"/>
    </row>
    <row r="18" spans="1:18" s="4" customFormat="1" ht="18" customHeight="1" thickBot="1">
      <c r="A18"/>
      <c r="B18" s="619"/>
      <c r="C18" s="555"/>
      <c r="D18" s="555"/>
      <c r="E18" s="621"/>
      <c r="F18" s="149"/>
      <c r="G18" s="159"/>
      <c r="H18" s="1"/>
      <c r="I18" s="1"/>
      <c r="J18" s="1"/>
      <c r="K18" s="1"/>
      <c r="L18" s="1"/>
      <c r="M18" s="1"/>
      <c r="N18" s="1"/>
      <c r="O18" s="1"/>
      <c r="P18" s="1"/>
      <c r="Q18" s="1"/>
      <c r="R18" s="1"/>
    </row>
    <row r="19" ht="17.25" customHeight="1" thickTop="1"/>
    <row r="20" ht="13.5" thickBot="1"/>
    <row r="21" spans="2:16" s="4" customFormat="1" ht="34.5" customHeight="1" thickTop="1">
      <c r="B21" s="52"/>
      <c r="C21" s="603" t="s">
        <v>4</v>
      </c>
      <c r="D21" s="135"/>
      <c r="E21" s="135"/>
      <c r="F21" s="135"/>
      <c r="G21" s="53"/>
      <c r="H21" s="53"/>
      <c r="I21" s="53"/>
      <c r="J21" s="53"/>
      <c r="K21" s="53"/>
      <c r="L21" s="53"/>
      <c r="M21" s="53"/>
      <c r="N21" s="54"/>
      <c r="O21" s="1"/>
      <c r="P21" s="1"/>
    </row>
    <row r="22" spans="2:16" s="4" customFormat="1" ht="18" customHeight="1">
      <c r="B22" s="55"/>
      <c r="C22" s="63"/>
      <c r="D22" s="136"/>
      <c r="E22" s="1119" t="s">
        <v>469</v>
      </c>
      <c r="F22" s="1120"/>
      <c r="G22" s="1119" t="s">
        <v>470</v>
      </c>
      <c r="H22" s="1120"/>
      <c r="I22" s="1119" t="s">
        <v>471</v>
      </c>
      <c r="J22" s="1120"/>
      <c r="K22" s="573"/>
      <c r="L22" s="63"/>
      <c r="M22" s="63"/>
      <c r="N22" s="56"/>
      <c r="O22" s="1"/>
      <c r="P22" s="1"/>
    </row>
    <row r="23" spans="2:16" s="4" customFormat="1" ht="18" customHeight="1">
      <c r="B23" s="55"/>
      <c r="C23" s="63"/>
      <c r="D23" s="136"/>
      <c r="E23" s="154" t="s">
        <v>409</v>
      </c>
      <c r="F23" s="154" t="s">
        <v>410</v>
      </c>
      <c r="G23" s="3" t="s">
        <v>378</v>
      </c>
      <c r="H23" s="116" t="s">
        <v>411</v>
      </c>
      <c r="I23" s="117" t="s">
        <v>412</v>
      </c>
      <c r="J23" s="118" t="s">
        <v>413</v>
      </c>
      <c r="K23" s="688"/>
      <c r="L23" s="63"/>
      <c r="M23" s="63"/>
      <c r="N23" s="56"/>
      <c r="O23" s="1"/>
      <c r="P23" s="1"/>
    </row>
    <row r="24" spans="2:16" s="4" customFormat="1" ht="109.5" customHeight="1">
      <c r="B24" s="65"/>
      <c r="C24" s="123"/>
      <c r="D24" s="137"/>
      <c r="E24" s="155" t="s">
        <v>456</v>
      </c>
      <c r="F24" s="155" t="s">
        <v>6</v>
      </c>
      <c r="G24" s="362" t="s">
        <v>7</v>
      </c>
      <c r="H24" s="5" t="s">
        <v>8</v>
      </c>
      <c r="I24" s="362" t="s">
        <v>154</v>
      </c>
      <c r="J24" s="363" t="s">
        <v>9</v>
      </c>
      <c r="K24" s="574"/>
      <c r="L24" s="63"/>
      <c r="M24" s="63"/>
      <c r="N24" s="56"/>
      <c r="O24" s="1"/>
      <c r="P24" s="1"/>
    </row>
    <row r="25" spans="2:16" s="4" customFormat="1" ht="24.75" customHeight="1">
      <c r="B25" s="55"/>
      <c r="C25" s="63"/>
      <c r="D25" s="136"/>
      <c r="E25" s="156"/>
      <c r="F25" s="156"/>
      <c r="G25" s="6"/>
      <c r="H25" s="6"/>
      <c r="I25" s="8" t="s">
        <v>878</v>
      </c>
      <c r="J25" s="124" t="s">
        <v>360</v>
      </c>
      <c r="K25" s="574"/>
      <c r="L25" s="63"/>
      <c r="M25" s="63"/>
      <c r="N25" s="56"/>
      <c r="O25" s="1"/>
      <c r="P25" s="1"/>
    </row>
    <row r="26" spans="2:16" s="4" customFormat="1" ht="19.5" customHeight="1">
      <c r="B26" s="55"/>
      <c r="C26" s="228" t="s">
        <v>10</v>
      </c>
      <c r="D26" s="229" t="s">
        <v>11</v>
      </c>
      <c r="E26" s="741">
        <v>500000</v>
      </c>
      <c r="F26" s="82" t="s">
        <v>366</v>
      </c>
      <c r="G26" s="750">
        <v>109</v>
      </c>
      <c r="H26" s="364" t="s">
        <v>44</v>
      </c>
      <c r="I26" s="125">
        <f>E26*G26</f>
        <v>54500000</v>
      </c>
      <c r="J26" s="179">
        <f>I26*12/44/1000</f>
        <v>14863.636363636364</v>
      </c>
      <c r="K26" s="689"/>
      <c r="L26" s="63"/>
      <c r="M26" s="63"/>
      <c r="N26" s="56"/>
      <c r="O26" s="1"/>
      <c r="P26" s="1"/>
    </row>
    <row r="27" spans="2:16" s="4" customFormat="1" ht="18" customHeight="1">
      <c r="B27" s="80"/>
      <c r="C27" s="43" t="s">
        <v>454</v>
      </c>
      <c r="D27" s="139" t="s">
        <v>455</v>
      </c>
      <c r="E27" s="12"/>
      <c r="F27" s="12"/>
      <c r="G27" s="11"/>
      <c r="H27" s="37"/>
      <c r="I27" s="126"/>
      <c r="J27" s="12"/>
      <c r="K27" s="690"/>
      <c r="L27" s="63"/>
      <c r="M27" s="63"/>
      <c r="N27" s="56"/>
      <c r="O27" s="1"/>
      <c r="P27" s="1"/>
    </row>
    <row r="28" spans="2:16" s="4" customFormat="1" ht="18" customHeight="1">
      <c r="B28" s="55"/>
      <c r="C28" s="40"/>
      <c r="D28" s="140"/>
      <c r="E28" s="740"/>
      <c r="F28" s="160"/>
      <c r="G28" s="127"/>
      <c r="H28" s="365"/>
      <c r="I28" s="128">
        <f>IF(E28="","",E28*G28)</f>
      </c>
      <c r="J28" s="128">
        <f>IF(ISERROR(I28*12/44/1000),"",I28*12/44/1000)</f>
      </c>
      <c r="K28" s="238"/>
      <c r="L28" s="63"/>
      <c r="M28" s="63"/>
      <c r="N28" s="56"/>
      <c r="O28" s="1"/>
      <c r="P28" s="1"/>
    </row>
    <row r="29" spans="2:16" s="4" customFormat="1" ht="18" customHeight="1">
      <c r="B29" s="55"/>
      <c r="C29" s="40"/>
      <c r="D29" s="140"/>
      <c r="E29" s="740"/>
      <c r="F29" s="160"/>
      <c r="G29" s="127"/>
      <c r="H29" s="365"/>
      <c r="I29" s="128">
        <f aca="true" t="shared" si="0" ref="I29:I34">IF(E29="","",E29*G29)</f>
      </c>
      <c r="J29" s="128">
        <f aca="true" t="shared" si="1" ref="J29:J34">IF(ISERROR(I29*12/44/1000),"",I29*12/44/1000)</f>
      </c>
      <c r="K29" s="238"/>
      <c r="L29" s="63"/>
      <c r="M29" s="63"/>
      <c r="N29" s="56"/>
      <c r="O29" s="1"/>
      <c r="P29" s="1"/>
    </row>
    <row r="30" spans="2:16" s="4" customFormat="1" ht="18" customHeight="1">
      <c r="B30" s="55"/>
      <c r="C30" s="40"/>
      <c r="D30" s="140"/>
      <c r="E30" s="740"/>
      <c r="F30" s="160"/>
      <c r="G30" s="127"/>
      <c r="H30" s="365"/>
      <c r="I30" s="128">
        <f t="shared" si="0"/>
      </c>
      <c r="J30" s="128">
        <f t="shared" si="1"/>
      </c>
      <c r="K30" s="238"/>
      <c r="L30" s="63"/>
      <c r="M30" s="63"/>
      <c r="N30" s="56"/>
      <c r="O30" s="1"/>
      <c r="P30" s="1"/>
    </row>
    <row r="31" spans="2:16" s="4" customFormat="1" ht="18" customHeight="1">
      <c r="B31" s="55"/>
      <c r="C31" s="40"/>
      <c r="D31" s="140"/>
      <c r="E31" s="740"/>
      <c r="F31" s="160"/>
      <c r="G31" s="127"/>
      <c r="H31" s="365"/>
      <c r="I31" s="128">
        <f t="shared" si="0"/>
      </c>
      <c r="J31" s="128">
        <f t="shared" si="1"/>
      </c>
      <c r="K31" s="238"/>
      <c r="L31" s="63"/>
      <c r="M31" s="63"/>
      <c r="N31" s="56"/>
      <c r="O31" s="1"/>
      <c r="P31" s="1"/>
    </row>
    <row r="32" spans="2:18" s="4" customFormat="1" ht="18" customHeight="1">
      <c r="B32" s="55"/>
      <c r="C32" s="40"/>
      <c r="D32" s="140"/>
      <c r="E32" s="740"/>
      <c r="F32" s="160"/>
      <c r="G32" s="127"/>
      <c r="H32" s="365"/>
      <c r="I32" s="128">
        <f t="shared" si="0"/>
      </c>
      <c r="J32" s="128">
        <f t="shared" si="1"/>
      </c>
      <c r="K32" s="238"/>
      <c r="L32" s="63"/>
      <c r="M32" s="63"/>
      <c r="N32" s="56"/>
      <c r="O32" s="1"/>
      <c r="P32" s="1"/>
      <c r="Q32" s="1"/>
      <c r="R32" s="1"/>
    </row>
    <row r="33" spans="2:18" s="4" customFormat="1" ht="18" customHeight="1">
      <c r="B33" s="55"/>
      <c r="C33" s="40"/>
      <c r="D33" s="141"/>
      <c r="E33" s="740"/>
      <c r="F33" s="160"/>
      <c r="G33" s="127"/>
      <c r="H33" s="365"/>
      <c r="I33" s="128">
        <f t="shared" si="0"/>
      </c>
      <c r="J33" s="128">
        <f t="shared" si="1"/>
      </c>
      <c r="K33" s="238"/>
      <c r="L33" s="63"/>
      <c r="M33" s="63"/>
      <c r="N33" s="56"/>
      <c r="O33" s="1"/>
      <c r="P33" s="1"/>
      <c r="Q33" s="1"/>
      <c r="R33" s="1"/>
    </row>
    <row r="34" spans="2:14" s="4" customFormat="1" ht="18" customHeight="1">
      <c r="B34" s="55"/>
      <c r="C34" s="40"/>
      <c r="D34" s="140"/>
      <c r="E34" s="740"/>
      <c r="F34" s="160"/>
      <c r="G34" s="127"/>
      <c r="H34" s="365"/>
      <c r="I34" s="128">
        <f t="shared" si="0"/>
      </c>
      <c r="J34" s="128">
        <f t="shared" si="1"/>
      </c>
      <c r="K34" s="238"/>
      <c r="L34" s="63"/>
      <c r="M34" s="63"/>
      <c r="N34" s="56"/>
    </row>
    <row r="35" spans="2:14" s="4" customFormat="1" ht="18" customHeight="1">
      <c r="B35" s="76"/>
      <c r="C35" s="77"/>
      <c r="D35" s="142"/>
      <c r="E35" s="142"/>
      <c r="F35" s="142"/>
      <c r="G35" s="77"/>
      <c r="H35" s="77"/>
      <c r="I35" s="129"/>
      <c r="J35" s="129"/>
      <c r="K35" s="129"/>
      <c r="L35" s="63"/>
      <c r="M35" s="63"/>
      <c r="N35" s="56"/>
    </row>
    <row r="36" spans="2:14" s="4" customFormat="1" ht="18" customHeight="1">
      <c r="B36" s="76"/>
      <c r="C36" s="77"/>
      <c r="D36" s="63"/>
      <c r="E36" s="1279" t="s">
        <v>12</v>
      </c>
      <c r="F36" s="1285"/>
      <c r="G36" s="1285"/>
      <c r="H36" s="1285"/>
      <c r="I36" s="1286"/>
      <c r="J36" s="366">
        <f>SUM(J28:J34)</f>
        <v>0</v>
      </c>
      <c r="K36" s="735" t="s">
        <v>14</v>
      </c>
      <c r="L36" s="63"/>
      <c r="M36" s="63"/>
      <c r="N36" s="56"/>
    </row>
    <row r="37" spans="2:14" s="4" customFormat="1" ht="33" customHeight="1">
      <c r="B37" s="76"/>
      <c r="C37" s="1284" t="s">
        <v>13</v>
      </c>
      <c r="D37" s="1280"/>
      <c r="E37" s="1280"/>
      <c r="F37" s="1280"/>
      <c r="G37" s="1280"/>
      <c r="H37" s="1280"/>
      <c r="I37" s="1281"/>
      <c r="J37" s="639"/>
      <c r="K37" s="735" t="s">
        <v>14</v>
      </c>
      <c r="L37" s="63"/>
      <c r="M37" s="63"/>
      <c r="N37" s="56"/>
    </row>
    <row r="38" spans="1:14" s="4" customFormat="1" ht="18" customHeight="1">
      <c r="A38" s="367"/>
      <c r="B38" s="76"/>
      <c r="C38" s="77"/>
      <c r="D38" s="368"/>
      <c r="E38" s="369"/>
      <c r="F38" s="369"/>
      <c r="G38" s="369"/>
      <c r="H38" s="369"/>
      <c r="I38" s="369"/>
      <c r="J38" s="370"/>
      <c r="K38" s="63"/>
      <c r="L38" s="63"/>
      <c r="M38" s="63"/>
      <c r="N38" s="56"/>
    </row>
    <row r="39" spans="1:14" s="4" customFormat="1" ht="49.5" customHeight="1">
      <c r="A39" s="367"/>
      <c r="B39" s="76"/>
      <c r="C39" s="1302" t="s">
        <v>15</v>
      </c>
      <c r="D39" s="1302"/>
      <c r="E39" s="1302"/>
      <c r="F39" s="1302"/>
      <c r="G39" s="1302"/>
      <c r="H39" s="1302"/>
      <c r="I39" s="1302"/>
      <c r="J39" s="1302"/>
      <c r="K39" s="1302"/>
      <c r="L39" s="1302"/>
      <c r="M39" s="1302"/>
      <c r="N39" s="1303"/>
    </row>
    <row r="40" spans="1:14" s="4" customFormat="1" ht="18" customHeight="1">
      <c r="A40" s="367"/>
      <c r="B40" s="76"/>
      <c r="C40" s="77"/>
      <c r="D40" s="982" t="s">
        <v>16</v>
      </c>
      <c r="E40" s="369"/>
      <c r="F40" s="369"/>
      <c r="G40" s="369"/>
      <c r="H40" s="369"/>
      <c r="I40" s="369"/>
      <c r="J40" s="164"/>
      <c r="K40" s="63"/>
      <c r="L40" s="63"/>
      <c r="M40" s="63"/>
      <c r="N40" s="56"/>
    </row>
    <row r="41" spans="1:14" s="4" customFormat="1" ht="18" customHeight="1" thickBot="1">
      <c r="A41" s="367"/>
      <c r="B41" s="183"/>
      <c r="C41" s="184"/>
      <c r="D41" s="371"/>
      <c r="E41" s="372"/>
      <c r="F41" s="372"/>
      <c r="G41" s="372"/>
      <c r="H41" s="372"/>
      <c r="I41" s="372"/>
      <c r="J41" s="373"/>
      <c r="K41" s="79"/>
      <c r="L41" s="79"/>
      <c r="M41" s="79"/>
      <c r="N41" s="75"/>
    </row>
    <row r="42" ht="13.5" thickTop="1"/>
    <row r="47" ht="12.75" customHeight="1"/>
    <row r="48" ht="13.5" thickBot="1"/>
    <row r="49" spans="2:16" s="4" customFormat="1" ht="34.5" customHeight="1" thickTop="1">
      <c r="B49" s="52"/>
      <c r="C49" s="603" t="s">
        <v>17</v>
      </c>
      <c r="D49" s="135"/>
      <c r="E49" s="135"/>
      <c r="F49" s="135"/>
      <c r="G49" s="53"/>
      <c r="H49" s="53"/>
      <c r="I49" s="53"/>
      <c r="J49" s="53"/>
      <c r="K49" s="53"/>
      <c r="L49" s="54"/>
      <c r="M49" s="1"/>
      <c r="N49" s="1"/>
      <c r="O49" s="1"/>
      <c r="P49" s="1"/>
    </row>
    <row r="50" spans="2:16" s="4" customFormat="1" ht="140.25" customHeight="1">
      <c r="B50" s="55"/>
      <c r="C50" s="1307" t="s">
        <v>20</v>
      </c>
      <c r="D50" s="1308"/>
      <c r="E50" s="1308"/>
      <c r="F50" s="1308"/>
      <c r="G50" s="1309"/>
      <c r="H50" s="206" t="s">
        <v>374</v>
      </c>
      <c r="I50" s="206"/>
      <c r="J50" s="63"/>
      <c r="K50" s="63"/>
      <c r="L50" s="56"/>
      <c r="M50" s="1"/>
      <c r="N50" s="1"/>
      <c r="O50" s="1"/>
      <c r="P50" s="1"/>
    </row>
    <row r="51" spans="2:16" s="4" customFormat="1" ht="34.5" customHeight="1">
      <c r="B51" s="55"/>
      <c r="C51" s="1282"/>
      <c r="D51" s="1283"/>
      <c r="E51" s="1283"/>
      <c r="F51" s="1283"/>
      <c r="G51" s="1283"/>
      <c r="H51" s="1283"/>
      <c r="I51" s="1283"/>
      <c r="J51" s="63"/>
      <c r="K51" s="63"/>
      <c r="L51" s="56"/>
      <c r="M51" s="1"/>
      <c r="N51" s="1"/>
      <c r="O51" s="1"/>
      <c r="P51" s="1"/>
    </row>
    <row r="52" spans="2:16" s="4" customFormat="1" ht="18" customHeight="1">
      <c r="B52" s="55"/>
      <c r="C52" s="63"/>
      <c r="D52" s="136"/>
      <c r="E52" s="1119" t="s">
        <v>469</v>
      </c>
      <c r="F52" s="1120"/>
      <c r="G52" s="17" t="s">
        <v>470</v>
      </c>
      <c r="H52" s="1119" t="s">
        <v>471</v>
      </c>
      <c r="I52" s="1120"/>
      <c r="J52" s="573"/>
      <c r="K52" s="573"/>
      <c r="L52" s="56"/>
      <c r="M52" s="1"/>
      <c r="N52" s="1"/>
      <c r="O52" s="1"/>
      <c r="P52" s="1"/>
    </row>
    <row r="53" spans="2:16" s="4" customFormat="1" ht="18" customHeight="1">
      <c r="B53" s="55"/>
      <c r="C53" s="63"/>
      <c r="D53" s="136"/>
      <c r="E53" s="154" t="s">
        <v>409</v>
      </c>
      <c r="F53" s="154" t="s">
        <v>410</v>
      </c>
      <c r="G53" s="3" t="s">
        <v>378</v>
      </c>
      <c r="H53" s="117" t="s">
        <v>411</v>
      </c>
      <c r="I53" s="118" t="s">
        <v>412</v>
      </c>
      <c r="J53" s="573"/>
      <c r="K53" s="688"/>
      <c r="L53" s="56"/>
      <c r="M53" s="1"/>
      <c r="N53" s="1"/>
      <c r="O53" s="1"/>
      <c r="P53" s="1"/>
    </row>
    <row r="54" spans="2:16" s="4" customFormat="1" ht="102.75" customHeight="1">
      <c r="B54" s="65"/>
      <c r="C54" s="123"/>
      <c r="D54" s="137"/>
      <c r="E54" s="155" t="s">
        <v>456</v>
      </c>
      <c r="F54" s="155" t="s">
        <v>23</v>
      </c>
      <c r="G54" s="155" t="s">
        <v>151</v>
      </c>
      <c r="H54" s="362" t="s">
        <v>603</v>
      </c>
      <c r="I54" s="363" t="s">
        <v>9</v>
      </c>
      <c r="J54" s="573"/>
      <c r="K54" s="574"/>
      <c r="L54" s="56"/>
      <c r="M54" s="1"/>
      <c r="N54" s="1"/>
      <c r="O54" s="1"/>
      <c r="P54" s="1"/>
    </row>
    <row r="55" spans="2:16" s="4" customFormat="1" ht="22.5" customHeight="1">
      <c r="B55" s="55"/>
      <c r="C55" s="63"/>
      <c r="D55" s="136"/>
      <c r="E55" s="177" t="s">
        <v>601</v>
      </c>
      <c r="F55" s="177" t="s">
        <v>602</v>
      </c>
      <c r="G55" s="177" t="s">
        <v>152</v>
      </c>
      <c r="H55" s="8" t="s">
        <v>153</v>
      </c>
      <c r="I55" s="124" t="s">
        <v>150</v>
      </c>
      <c r="J55" s="573"/>
      <c r="K55" s="574"/>
      <c r="L55" s="56"/>
      <c r="M55" s="1"/>
      <c r="N55" s="1"/>
      <c r="O55" s="1"/>
      <c r="P55" s="1"/>
    </row>
    <row r="56" spans="2:16" s="4" customFormat="1" ht="19.5" customHeight="1">
      <c r="B56" s="55"/>
      <c r="C56" s="228" t="s">
        <v>21</v>
      </c>
      <c r="D56" s="229" t="s">
        <v>22</v>
      </c>
      <c r="E56" s="741">
        <v>100000</v>
      </c>
      <c r="F56" s="804">
        <v>13.5</v>
      </c>
      <c r="G56" s="185">
        <f>E56*F56</f>
        <v>1350000</v>
      </c>
      <c r="H56" s="872">
        <v>0.089</v>
      </c>
      <c r="I56" s="182">
        <f>G56*H56</f>
        <v>120150</v>
      </c>
      <c r="J56" s="573"/>
      <c r="K56" s="689"/>
      <c r="L56" s="56"/>
      <c r="M56" s="1"/>
      <c r="N56" s="1"/>
      <c r="O56" s="1"/>
      <c r="P56" s="1"/>
    </row>
    <row r="57" spans="2:16" s="4" customFormat="1" ht="18" customHeight="1">
      <c r="B57" s="80"/>
      <c r="C57" s="43" t="s">
        <v>454</v>
      </c>
      <c r="D57" s="139" t="s">
        <v>455</v>
      </c>
      <c r="E57" s="12"/>
      <c r="F57" s="873"/>
      <c r="G57" s="873"/>
      <c r="H57" s="874"/>
      <c r="I57" s="873"/>
      <c r="J57" s="573"/>
      <c r="K57" s="690"/>
      <c r="L57" s="56"/>
      <c r="M57" s="1"/>
      <c r="N57" s="1"/>
      <c r="O57" s="1"/>
      <c r="P57" s="1"/>
    </row>
    <row r="58" spans="2:16" s="4" customFormat="1" ht="18" customHeight="1">
      <c r="B58" s="55"/>
      <c r="C58" s="40"/>
      <c r="D58" s="140"/>
      <c r="E58" s="740"/>
      <c r="F58" s="875"/>
      <c r="G58" s="1069">
        <f>E58*F58</f>
        <v>0</v>
      </c>
      <c r="H58" s="875"/>
      <c r="I58" s="1069">
        <f>G58*H58</f>
        <v>0</v>
      </c>
      <c r="J58" s="573"/>
      <c r="K58" s="238"/>
      <c r="L58" s="56"/>
      <c r="M58" s="1"/>
      <c r="N58" s="1"/>
      <c r="O58" s="1"/>
      <c r="P58" s="1"/>
    </row>
    <row r="59" spans="2:16" s="4" customFormat="1" ht="18" customHeight="1">
      <c r="B59" s="55"/>
      <c r="C59" s="40"/>
      <c r="D59" s="140"/>
      <c r="E59" s="740"/>
      <c r="F59" s="875"/>
      <c r="G59" s="1069">
        <f aca="true" t="shared" si="2" ref="G59:G64">E59*F59</f>
        <v>0</v>
      </c>
      <c r="H59" s="875"/>
      <c r="I59" s="1069">
        <f aca="true" t="shared" si="3" ref="I59:I64">G59*H59</f>
        <v>0</v>
      </c>
      <c r="J59" s="573"/>
      <c r="K59" s="238"/>
      <c r="L59" s="56"/>
      <c r="M59" s="1"/>
      <c r="N59" s="1"/>
      <c r="O59" s="1"/>
      <c r="P59" s="1"/>
    </row>
    <row r="60" spans="2:16" s="4" customFormat="1" ht="18" customHeight="1">
      <c r="B60" s="55"/>
      <c r="C60" s="40"/>
      <c r="D60" s="140"/>
      <c r="E60" s="740"/>
      <c r="F60" s="875"/>
      <c r="G60" s="1069">
        <f t="shared" si="2"/>
        <v>0</v>
      </c>
      <c r="H60" s="875"/>
      <c r="I60" s="1069">
        <f t="shared" si="3"/>
        <v>0</v>
      </c>
      <c r="J60" s="573"/>
      <c r="K60" s="238"/>
      <c r="L60" s="56"/>
      <c r="M60" s="1"/>
      <c r="N60" s="1"/>
      <c r="O60" s="1"/>
      <c r="P60" s="1"/>
    </row>
    <row r="61" spans="2:16" s="4" customFormat="1" ht="18" customHeight="1">
      <c r="B61" s="55"/>
      <c r="C61" s="40"/>
      <c r="D61" s="140"/>
      <c r="E61" s="740"/>
      <c r="F61" s="875"/>
      <c r="G61" s="1069">
        <f t="shared" si="2"/>
        <v>0</v>
      </c>
      <c r="H61" s="875"/>
      <c r="I61" s="1069">
        <f t="shared" si="3"/>
        <v>0</v>
      </c>
      <c r="J61" s="573"/>
      <c r="K61" s="238"/>
      <c r="L61" s="56"/>
      <c r="M61" s="1"/>
      <c r="N61" s="1"/>
      <c r="O61" s="1"/>
      <c r="P61" s="1"/>
    </row>
    <row r="62" spans="2:18" s="4" customFormat="1" ht="18" customHeight="1">
      <c r="B62" s="55"/>
      <c r="C62" s="40"/>
      <c r="D62" s="140"/>
      <c r="E62" s="740"/>
      <c r="F62" s="875"/>
      <c r="G62" s="1069">
        <f t="shared" si="2"/>
        <v>0</v>
      </c>
      <c r="H62" s="875"/>
      <c r="I62" s="1069">
        <f t="shared" si="3"/>
        <v>0</v>
      </c>
      <c r="J62" s="573"/>
      <c r="K62" s="238"/>
      <c r="L62" s="56"/>
      <c r="M62" s="1"/>
      <c r="N62" s="1"/>
      <c r="O62" s="1"/>
      <c r="P62" s="1"/>
      <c r="Q62" s="1"/>
      <c r="R62" s="1"/>
    </row>
    <row r="63" spans="2:18" s="4" customFormat="1" ht="18" customHeight="1">
      <c r="B63" s="55"/>
      <c r="C63" s="40"/>
      <c r="D63" s="141"/>
      <c r="E63" s="740"/>
      <c r="F63" s="875"/>
      <c r="G63" s="1069">
        <f t="shared" si="2"/>
        <v>0</v>
      </c>
      <c r="H63" s="875"/>
      <c r="I63" s="1069">
        <f t="shared" si="3"/>
        <v>0</v>
      </c>
      <c r="J63" s="573"/>
      <c r="K63" s="238"/>
      <c r="L63" s="56"/>
      <c r="M63" s="1"/>
      <c r="N63" s="1"/>
      <c r="O63" s="1"/>
      <c r="P63" s="1"/>
      <c r="Q63" s="1"/>
      <c r="R63" s="1"/>
    </row>
    <row r="64" spans="2:12" s="4" customFormat="1" ht="18" customHeight="1">
      <c r="B64" s="55"/>
      <c r="C64" s="40"/>
      <c r="D64" s="140"/>
      <c r="E64" s="740"/>
      <c r="F64" s="875"/>
      <c r="G64" s="1069">
        <f t="shared" si="2"/>
        <v>0</v>
      </c>
      <c r="H64" s="875"/>
      <c r="I64" s="1069">
        <f t="shared" si="3"/>
        <v>0</v>
      </c>
      <c r="J64" s="573"/>
      <c r="K64" s="238"/>
      <c r="L64" s="56"/>
    </row>
    <row r="65" spans="2:12" s="4" customFormat="1" ht="18" customHeight="1">
      <c r="B65" s="76"/>
      <c r="C65" s="77"/>
      <c r="D65" s="142"/>
      <c r="E65" s="142"/>
      <c r="F65" s="142"/>
      <c r="G65" s="77"/>
      <c r="H65" s="129"/>
      <c r="I65" s="129"/>
      <c r="J65" s="573"/>
      <c r="K65" s="129"/>
      <c r="L65" s="56"/>
    </row>
    <row r="66" spans="2:12" s="4" customFormat="1" ht="33.75" customHeight="1">
      <c r="B66" s="76"/>
      <c r="C66" s="1304" t="s">
        <v>24</v>
      </c>
      <c r="D66" s="1305"/>
      <c r="E66" s="1305"/>
      <c r="F66" s="1305"/>
      <c r="G66" s="1305"/>
      <c r="H66" s="1306"/>
      <c r="I66" s="130">
        <f>SUM(I58:I64)</f>
        <v>0</v>
      </c>
      <c r="J66" s="735" t="s">
        <v>14</v>
      </c>
      <c r="K66" s="63"/>
      <c r="L66" s="56"/>
    </row>
    <row r="67" spans="2:12" s="4" customFormat="1" ht="35.25" customHeight="1">
      <c r="B67" s="76"/>
      <c r="C67" s="1279" t="s">
        <v>13</v>
      </c>
      <c r="D67" s="1280"/>
      <c r="E67" s="1280"/>
      <c r="F67" s="1280"/>
      <c r="G67" s="1280"/>
      <c r="H67" s="1280"/>
      <c r="I67" s="1281"/>
      <c r="J67" s="735" t="s">
        <v>14</v>
      </c>
      <c r="K67" s="63"/>
      <c r="L67" s="56"/>
    </row>
    <row r="68" spans="1:12" s="4" customFormat="1" ht="18" customHeight="1">
      <c r="A68" s="367"/>
      <c r="B68" s="76"/>
      <c r="C68" s="77"/>
      <c r="D68" s="368"/>
      <c r="E68" s="369"/>
      <c r="F68" s="369"/>
      <c r="G68" s="369"/>
      <c r="H68" s="369"/>
      <c r="I68" s="369"/>
      <c r="J68" s="164"/>
      <c r="K68" s="63"/>
      <c r="L68" s="56"/>
    </row>
    <row r="69" spans="1:12" s="4" customFormat="1" ht="18" customHeight="1">
      <c r="A69" s="367"/>
      <c r="B69" s="77"/>
      <c r="C69" s="982" t="s">
        <v>25</v>
      </c>
      <c r="D69" s="164"/>
      <c r="E69" s="369"/>
      <c r="F69" s="369"/>
      <c r="G69" s="369"/>
      <c r="H69" s="369"/>
      <c r="I69" s="369"/>
      <c r="J69" s="164"/>
      <c r="K69" s="63"/>
      <c r="L69" s="56"/>
    </row>
    <row r="70" spans="1:12" s="4" customFormat="1" ht="18" customHeight="1" thickBot="1">
      <c r="A70" s="367"/>
      <c r="B70" s="183"/>
      <c r="C70" s="184"/>
      <c r="D70" s="371"/>
      <c r="E70" s="372"/>
      <c r="F70" s="372"/>
      <c r="G70" s="372"/>
      <c r="H70" s="372"/>
      <c r="I70" s="372"/>
      <c r="J70" s="373"/>
      <c r="K70" s="79"/>
      <c r="L70" s="75"/>
    </row>
    <row r="71" spans="2:12" ht="12.75" customHeight="1" thickTop="1">
      <c r="B71" s="52"/>
      <c r="C71" s="53"/>
      <c r="D71" s="53"/>
      <c r="E71" s="53"/>
      <c r="F71" s="53"/>
      <c r="G71" s="53"/>
      <c r="H71" s="53"/>
      <c r="I71" s="53"/>
      <c r="J71" s="53"/>
      <c r="K71" s="53"/>
      <c r="L71" s="56"/>
    </row>
    <row r="72" spans="2:12" ht="15.75">
      <c r="B72" s="55"/>
      <c r="C72" s="129" t="s">
        <v>26</v>
      </c>
      <c r="D72" s="63"/>
      <c r="E72" s="63"/>
      <c r="F72" s="63"/>
      <c r="G72" s="63"/>
      <c r="H72" s="63"/>
      <c r="I72" s="63"/>
      <c r="J72" s="63"/>
      <c r="K72" s="63"/>
      <c r="L72" s="56"/>
    </row>
    <row r="73" spans="2:12" ht="12.75">
      <c r="B73" s="55"/>
      <c r="C73" s="63"/>
      <c r="D73" s="63"/>
      <c r="E73" s="63"/>
      <c r="F73" s="63"/>
      <c r="G73" s="63"/>
      <c r="H73" s="63"/>
      <c r="I73" s="63"/>
      <c r="J73" s="63"/>
      <c r="K73" s="63"/>
      <c r="L73" s="56"/>
    </row>
    <row r="74" spans="2:12" ht="63.75" customHeight="1">
      <c r="B74" s="55"/>
      <c r="C74" s="1034" t="s">
        <v>27</v>
      </c>
      <c r="D74" s="1034" t="s">
        <v>28</v>
      </c>
      <c r="E74" s="798" t="s">
        <v>29</v>
      </c>
      <c r="F74" s="798" t="s">
        <v>30</v>
      </c>
      <c r="G74" s="798" t="s">
        <v>31</v>
      </c>
      <c r="H74" s="1068" t="s">
        <v>149</v>
      </c>
      <c r="I74" s="63"/>
      <c r="J74" s="63"/>
      <c r="K74" s="63"/>
      <c r="L74" s="56"/>
    </row>
    <row r="75" spans="2:12" ht="12.75">
      <c r="B75" s="55"/>
      <c r="C75" s="1035" t="s">
        <v>32</v>
      </c>
      <c r="D75" s="638" t="s">
        <v>33</v>
      </c>
      <c r="E75" s="871">
        <v>35</v>
      </c>
      <c r="F75" s="871">
        <v>14.2</v>
      </c>
      <c r="G75" s="871">
        <f>IF(F75=0,"",0.95*F75)</f>
        <v>13.489999999999998</v>
      </c>
      <c r="H75" s="871">
        <f>IF(F75=0,"",((E75/100)*0.99*(42/12)*1000/G75))/1000</f>
        <v>0.08989992587101558</v>
      </c>
      <c r="I75" s="63"/>
      <c r="J75" s="63"/>
      <c r="K75" s="63"/>
      <c r="L75" s="56"/>
    </row>
    <row r="76" spans="2:12" ht="12.75">
      <c r="B76" s="55"/>
      <c r="C76" s="1035" t="s">
        <v>32</v>
      </c>
      <c r="D76" s="638" t="s">
        <v>34</v>
      </c>
      <c r="E76" s="871">
        <v>32.5</v>
      </c>
      <c r="F76" s="871">
        <v>13.5</v>
      </c>
      <c r="G76" s="871">
        <f aca="true" t="shared" si="4" ref="G76:G83">IF(F76=0,"",0.95*F76)</f>
        <v>12.825</v>
      </c>
      <c r="H76" s="871">
        <f aca="true" t="shared" si="5" ref="H76:H83">IF(F76=0,"",((E76/100)*0.99*(42/12)*1000/G76))/1000</f>
        <v>0.08780701754385965</v>
      </c>
      <c r="I76" s="63"/>
      <c r="J76" s="63"/>
      <c r="K76" s="63"/>
      <c r="L76" s="56"/>
    </row>
    <row r="77" spans="2:12" ht="12.75">
      <c r="B77" s="55"/>
      <c r="C77" s="1035" t="s">
        <v>32</v>
      </c>
      <c r="D77" s="638" t="s">
        <v>35</v>
      </c>
      <c r="E77" s="871">
        <v>35</v>
      </c>
      <c r="F77" s="871">
        <v>14.2</v>
      </c>
      <c r="G77" s="871">
        <f t="shared" si="4"/>
        <v>13.489999999999998</v>
      </c>
      <c r="H77" s="871">
        <f t="shared" si="5"/>
        <v>0.08989992587101558</v>
      </c>
      <c r="I77" s="63"/>
      <c r="J77" s="63"/>
      <c r="K77" s="63"/>
      <c r="L77" s="56"/>
    </row>
    <row r="78" spans="2:12" ht="12.75">
      <c r="B78" s="55"/>
      <c r="C78" s="1035" t="s">
        <v>32</v>
      </c>
      <c r="D78" s="638" t="s">
        <v>36</v>
      </c>
      <c r="E78" s="871">
        <v>34</v>
      </c>
      <c r="F78" s="871">
        <v>13.9</v>
      </c>
      <c r="G78" s="871">
        <f t="shared" si="4"/>
        <v>13.205</v>
      </c>
      <c r="H78" s="871">
        <f t="shared" si="5"/>
        <v>0.08921620598258237</v>
      </c>
      <c r="I78" s="63"/>
      <c r="J78" s="63"/>
      <c r="K78" s="63"/>
      <c r="L78" s="56"/>
    </row>
    <row r="79" spans="2:12" ht="12.75">
      <c r="B79" s="55"/>
      <c r="C79" s="1035" t="s">
        <v>32</v>
      </c>
      <c r="D79" s="638" t="s">
        <v>37</v>
      </c>
      <c r="E79" s="871">
        <v>34.8</v>
      </c>
      <c r="F79" s="871"/>
      <c r="G79" s="871">
        <f t="shared" si="4"/>
      </c>
      <c r="H79" s="871"/>
      <c r="I79" s="63"/>
      <c r="J79" s="63"/>
      <c r="K79" s="63"/>
      <c r="L79" s="56"/>
    </row>
    <row r="80" spans="2:12" ht="12.75">
      <c r="B80" s="55"/>
      <c r="C80" s="1035" t="s">
        <v>32</v>
      </c>
      <c r="D80" s="638" t="s">
        <v>38</v>
      </c>
      <c r="E80" s="871">
        <v>35.2</v>
      </c>
      <c r="F80" s="871">
        <v>14.1</v>
      </c>
      <c r="G80" s="871">
        <f t="shared" si="4"/>
        <v>13.395</v>
      </c>
      <c r="H80" s="871">
        <f t="shared" si="5"/>
        <v>0.09105487122060471</v>
      </c>
      <c r="I80" s="63"/>
      <c r="J80" s="63"/>
      <c r="K80" s="63"/>
      <c r="L80" s="56"/>
    </row>
    <row r="81" spans="2:12" ht="12.75">
      <c r="B81" s="55"/>
      <c r="C81" s="1035" t="s">
        <v>32</v>
      </c>
      <c r="D81" s="638" t="s">
        <v>39</v>
      </c>
      <c r="E81" s="871">
        <v>36.9</v>
      </c>
      <c r="F81" s="871">
        <v>14.8</v>
      </c>
      <c r="G81" s="871">
        <f t="shared" si="4"/>
        <v>14.06</v>
      </c>
      <c r="H81" s="871">
        <f t="shared" si="5"/>
        <v>0.09093776671408249</v>
      </c>
      <c r="I81" s="63"/>
      <c r="J81" s="63"/>
      <c r="K81" s="63"/>
      <c r="L81" s="56"/>
    </row>
    <row r="82" spans="2:12" ht="12.75">
      <c r="B82" s="55"/>
      <c r="C82" s="1035" t="s">
        <v>32</v>
      </c>
      <c r="D82" s="638" t="s">
        <v>40</v>
      </c>
      <c r="E82" s="871">
        <v>34.5</v>
      </c>
      <c r="F82" s="871">
        <v>14.1</v>
      </c>
      <c r="G82" s="871">
        <f t="shared" si="4"/>
        <v>13.395</v>
      </c>
      <c r="H82" s="871">
        <f t="shared" si="5"/>
        <v>0.0892441209406495</v>
      </c>
      <c r="I82" s="63"/>
      <c r="J82" s="63"/>
      <c r="K82" s="63"/>
      <c r="L82" s="56"/>
    </row>
    <row r="83" spans="2:12" ht="12.75">
      <c r="B83" s="55"/>
      <c r="C83" s="1035" t="s">
        <v>32</v>
      </c>
      <c r="D83" s="638" t="s">
        <v>41</v>
      </c>
      <c r="E83" s="871">
        <v>36.5</v>
      </c>
      <c r="F83" s="871">
        <v>14.7</v>
      </c>
      <c r="G83" s="871">
        <f t="shared" si="4"/>
        <v>13.964999999999998</v>
      </c>
      <c r="H83" s="871">
        <f t="shared" si="5"/>
        <v>0.09056390977443611</v>
      </c>
      <c r="I83" s="63"/>
      <c r="J83" s="63"/>
      <c r="K83" s="63"/>
      <c r="L83" s="56"/>
    </row>
    <row r="84" spans="2:12" ht="12.75">
      <c r="B84" s="55"/>
      <c r="C84" s="63"/>
      <c r="D84" s="63"/>
      <c r="E84" s="63"/>
      <c r="F84" s="63"/>
      <c r="G84" s="63"/>
      <c r="H84" s="63"/>
      <c r="I84" s="63"/>
      <c r="J84" s="63"/>
      <c r="K84" s="63"/>
      <c r="L84" s="56"/>
    </row>
    <row r="85" spans="2:12" ht="12.75">
      <c r="B85" s="55"/>
      <c r="C85" s="63"/>
      <c r="D85" s="63"/>
      <c r="E85" s="63"/>
      <c r="F85" s="63"/>
      <c r="G85" s="63"/>
      <c r="H85" s="63"/>
      <c r="I85" s="63"/>
      <c r="J85" s="63"/>
      <c r="K85" s="63"/>
      <c r="L85" s="56"/>
    </row>
    <row r="86" spans="2:12" ht="69.75" customHeight="1">
      <c r="B86" s="1299" t="s">
        <v>148</v>
      </c>
      <c r="C86" s="1300"/>
      <c r="D86" s="1300"/>
      <c r="E86" s="1300"/>
      <c r="F86" s="1300"/>
      <c r="G86" s="1300"/>
      <c r="H86" s="1300"/>
      <c r="I86" s="1300"/>
      <c r="J86" s="1300"/>
      <c r="K86" s="1300"/>
      <c r="L86" s="1301"/>
    </row>
    <row r="87" spans="2:12" ht="13.5" thickBot="1">
      <c r="B87" s="78"/>
      <c r="C87" s="79"/>
      <c r="D87" s="79"/>
      <c r="E87" s="79"/>
      <c r="F87" s="79"/>
      <c r="G87" s="79"/>
      <c r="H87" s="79"/>
      <c r="I87" s="79"/>
      <c r="J87" s="79"/>
      <c r="K87" s="79"/>
      <c r="L87" s="75"/>
    </row>
    <row r="88" ht="13.5" thickTop="1"/>
  </sheetData>
  <mergeCells count="24">
    <mergeCell ref="B86:L86"/>
    <mergeCell ref="C39:N39"/>
    <mergeCell ref="A1:W1"/>
    <mergeCell ref="C66:H66"/>
    <mergeCell ref="I22:J22"/>
    <mergeCell ref="E22:F22"/>
    <mergeCell ref="G22:H22"/>
    <mergeCell ref="E52:F52"/>
    <mergeCell ref="C50:G50"/>
    <mergeCell ref="B14:C14"/>
    <mergeCell ref="B15:C15"/>
    <mergeCell ref="B16:C16"/>
    <mergeCell ref="C3:G3"/>
    <mergeCell ref="B10:G10"/>
    <mergeCell ref="B5:G5"/>
    <mergeCell ref="B7:G7"/>
    <mergeCell ref="B9:G9"/>
    <mergeCell ref="B4:G4"/>
    <mergeCell ref="H52:I52"/>
    <mergeCell ref="C67:I67"/>
    <mergeCell ref="C51:I51"/>
    <mergeCell ref="B17:C17"/>
    <mergeCell ref="C37:I37"/>
    <mergeCell ref="E36:I36"/>
  </mergeCells>
  <printOptions horizontalCentered="1"/>
  <pageMargins left="0.75" right="0.75" top="1" bottom="1" header="0.5" footer="0.5"/>
  <pageSetup fitToHeight="3" fitToWidth="1" horizontalDpi="600" verticalDpi="600" orientation="landscape" scale="54" r:id="rId1"/>
</worksheet>
</file>

<file path=xl/worksheets/sheet16.xml><?xml version="1.0" encoding="utf-8"?>
<worksheet xmlns="http://schemas.openxmlformats.org/spreadsheetml/2006/main" xmlns:r="http://schemas.openxmlformats.org/officeDocument/2006/relationships">
  <sheetPr codeName="Hoja15">
    <pageSetUpPr fitToPage="1"/>
  </sheetPr>
  <dimension ref="A1:W47"/>
  <sheetViews>
    <sheetView zoomScale="80" zoomScaleNormal="80" workbookViewId="0" topLeftCell="A7">
      <selection activeCell="A2" sqref="A2"/>
    </sheetView>
  </sheetViews>
  <sheetFormatPr defaultColWidth="11.421875" defaultRowHeight="12.75"/>
  <cols>
    <col min="1" max="1" width="7.28125" style="0" customWidth="1"/>
    <col min="2" max="2" width="4.57421875" style="0" customWidth="1"/>
    <col min="3" max="3" width="36.140625" style="241" customWidth="1"/>
    <col min="4" max="4" width="4.140625" style="241" customWidth="1"/>
    <col min="5" max="5" width="16.421875" style="174" customWidth="1"/>
    <col min="6" max="6" width="67.7109375" style="208" customWidth="1"/>
    <col min="7" max="7" width="5.140625" style="0" customWidth="1"/>
    <col min="8" max="16384" width="9.140625" style="0" customWidth="1"/>
  </cols>
  <sheetData>
    <row r="1" spans="1:23" ht="18" customHeight="1">
      <c r="A1" s="1228" t="s">
        <v>628</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pans="3:20" ht="26.25" customHeight="1">
      <c r="C2" s="1261" t="s">
        <v>312</v>
      </c>
      <c r="D2" s="1261"/>
      <c r="E2" s="1261"/>
      <c r="F2" s="1261"/>
      <c r="G2" s="1261"/>
      <c r="H2" s="975"/>
      <c r="I2" s="975"/>
      <c r="J2" s="975"/>
      <c r="K2" s="975"/>
      <c r="L2" s="975"/>
      <c r="M2" s="975"/>
      <c r="N2" s="975"/>
      <c r="O2" s="975"/>
      <c r="P2" s="975"/>
      <c r="Q2" s="975"/>
      <c r="R2" s="975"/>
      <c r="S2" s="975"/>
      <c r="T2" s="975"/>
    </row>
    <row r="3" ht="13.5" thickBot="1"/>
    <row r="4" spans="2:7" ht="40.5" customHeight="1" thickTop="1">
      <c r="B4" s="52"/>
      <c r="C4" s="259" t="s">
        <v>313</v>
      </c>
      <c r="D4" s="243"/>
      <c r="E4" s="244"/>
      <c r="F4" s="86"/>
      <c r="G4" s="54"/>
    </row>
    <row r="5" spans="2:7" ht="15">
      <c r="B5" s="55"/>
      <c r="C5" s="250" t="s">
        <v>314</v>
      </c>
      <c r="D5" s="252"/>
      <c r="E5" s="1323">
        <f>IF('Operations in Inventory'!F8="","",'Operations in Inventory'!F8)</f>
      </c>
      <c r="F5" s="1324"/>
      <c r="G5" s="56"/>
    </row>
    <row r="6" spans="2:7" ht="15">
      <c r="B6" s="55"/>
      <c r="C6" s="245"/>
      <c r="D6" s="245"/>
      <c r="E6" s="246"/>
      <c r="F6" s="147"/>
      <c r="G6" s="56"/>
    </row>
    <row r="7" spans="2:7" ht="72.75" customHeight="1">
      <c r="B7" s="55"/>
      <c r="C7" s="253" t="s">
        <v>315</v>
      </c>
      <c r="D7" s="254"/>
      <c r="E7" s="1321">
        <f>IF('Operations in Inventory'!F10="","",'Operations in Inventory'!F10)</f>
      </c>
      <c r="F7" s="1322"/>
      <c r="G7" s="56"/>
    </row>
    <row r="8" spans="2:7" ht="30" customHeight="1" thickBot="1">
      <c r="B8" s="55"/>
      <c r="C8" s="247"/>
      <c r="D8" s="247"/>
      <c r="E8" s="147"/>
      <c r="F8" s="93"/>
      <c r="G8" s="56"/>
    </row>
    <row r="9" spans="2:7" ht="58.5" customHeight="1" thickTop="1">
      <c r="B9" s="52"/>
      <c r="C9" s="604" t="s">
        <v>316</v>
      </c>
      <c r="D9" s="601"/>
      <c r="E9" s="602"/>
      <c r="F9" s="749" t="s">
        <v>317</v>
      </c>
      <c r="G9" s="54"/>
    </row>
    <row r="10" spans="2:7" ht="68.25" customHeight="1">
      <c r="B10" s="55"/>
      <c r="C10" s="253" t="s">
        <v>318</v>
      </c>
      <c r="D10" s="254"/>
      <c r="E10" s="255">
        <f>'Direct - Fuel Combust.'!K40</f>
        <v>0</v>
      </c>
      <c r="F10" s="210"/>
      <c r="G10" s="56"/>
    </row>
    <row r="11" spans="2:7" ht="15">
      <c r="B11" s="55"/>
      <c r="C11" s="245"/>
      <c r="D11" s="245"/>
      <c r="E11" s="246"/>
      <c r="F11" s="147"/>
      <c r="G11" s="56"/>
    </row>
    <row r="12" spans="2:7" ht="69.75" customHeight="1">
      <c r="B12" s="55"/>
      <c r="C12" s="253" t="s">
        <v>319</v>
      </c>
      <c r="D12" s="254"/>
      <c r="E12" s="255">
        <f>'Direct- Mobile &amp; Transportation'!I145+J168</f>
        <v>0</v>
      </c>
      <c r="F12" s="209"/>
      <c r="G12" s="56"/>
    </row>
    <row r="13" spans="2:7" ht="15">
      <c r="B13" s="55"/>
      <c r="C13" s="247"/>
      <c r="D13" s="247"/>
      <c r="E13" s="93"/>
      <c r="F13" s="93"/>
      <c r="G13" s="56"/>
    </row>
    <row r="14" spans="2:7" ht="68.25" customHeight="1">
      <c r="B14" s="55"/>
      <c r="C14" s="256" t="s">
        <v>320</v>
      </c>
      <c r="D14" s="257"/>
      <c r="E14" s="121">
        <f>'Direct - Waste Mngmt.'!J51</f>
        <v>0</v>
      </c>
      <c r="F14" s="93"/>
      <c r="G14" s="56"/>
    </row>
    <row r="15" spans="2:7" ht="15">
      <c r="B15" s="55"/>
      <c r="C15" s="247"/>
      <c r="D15" s="247"/>
      <c r="E15" s="93"/>
      <c r="F15" s="93"/>
      <c r="G15" s="56"/>
    </row>
    <row r="16" spans="2:7" ht="80.25" customHeight="1">
      <c r="B16" s="55"/>
      <c r="C16" s="256" t="s">
        <v>323</v>
      </c>
      <c r="D16" s="257"/>
      <c r="E16" s="121">
        <f>'Direct - Make-up Carbonates'!F11</f>
        <v>0</v>
      </c>
      <c r="F16" s="93"/>
      <c r="G16" s="56"/>
    </row>
    <row r="17" spans="2:7" ht="18" customHeight="1">
      <c r="B17" s="55"/>
      <c r="C17" s="247"/>
      <c r="D17" s="247"/>
      <c r="E17" s="147"/>
      <c r="F17" s="93"/>
      <c r="G17" s="56"/>
    </row>
    <row r="18" spans="2:7" ht="49.5" customHeight="1">
      <c r="B18" s="55"/>
      <c r="C18" s="256" t="s">
        <v>324</v>
      </c>
      <c r="D18" s="257"/>
      <c r="E18" s="121">
        <f>E16+E14+E12+E10</f>
        <v>0</v>
      </c>
      <c r="F18" s="93"/>
      <c r="G18" s="56"/>
    </row>
    <row r="19" spans="2:7" ht="38.25" customHeight="1" thickBot="1">
      <c r="B19" s="78"/>
      <c r="C19" s="600"/>
      <c r="D19" s="600"/>
      <c r="E19" s="148"/>
      <c r="F19" s="91"/>
      <c r="G19" s="75"/>
    </row>
    <row r="20" spans="2:7" ht="63.75" customHeight="1" thickTop="1">
      <c r="B20" s="55"/>
      <c r="C20" s="1316" t="s">
        <v>325</v>
      </c>
      <c r="D20" s="1317"/>
      <c r="E20" s="1317"/>
      <c r="F20" s="93"/>
      <c r="G20" s="56"/>
    </row>
    <row r="21" spans="2:7" ht="66" customHeight="1">
      <c r="B21" s="55"/>
      <c r="C21" s="256" t="s">
        <v>326</v>
      </c>
      <c r="D21" s="257"/>
      <c r="E21" s="121">
        <f>'Indirect - Energy Imports'!F31</f>
        <v>0</v>
      </c>
      <c r="F21" s="209"/>
      <c r="G21" s="56"/>
    </row>
    <row r="22" spans="2:7" ht="15">
      <c r="B22" s="55"/>
      <c r="C22" s="247"/>
      <c r="D22" s="247"/>
      <c r="E22" s="93"/>
      <c r="F22" s="93"/>
      <c r="G22" s="56"/>
    </row>
    <row r="23" spans="2:7" ht="81.75" customHeight="1">
      <c r="B23" s="55"/>
      <c r="C23" s="256" t="s">
        <v>327</v>
      </c>
      <c r="D23" s="257"/>
      <c r="E23" s="121">
        <f>'Direct - Energy Exports'!G35</f>
        <v>0</v>
      </c>
      <c r="F23" s="209"/>
      <c r="G23" s="56"/>
    </row>
    <row r="24" spans="2:7" ht="39" customHeight="1" thickBot="1">
      <c r="B24" s="55"/>
      <c r="C24" s="247"/>
      <c r="D24" s="247"/>
      <c r="E24" s="575"/>
      <c r="F24" s="93"/>
      <c r="G24" s="56"/>
    </row>
    <row r="25" spans="2:7" ht="54.75" customHeight="1" thickTop="1">
      <c r="B25" s="52"/>
      <c r="C25" s="1318" t="s">
        <v>328</v>
      </c>
      <c r="D25" s="1319"/>
      <c r="E25" s="1319"/>
      <c r="F25" s="1320"/>
      <c r="G25" s="54"/>
    </row>
    <row r="26" spans="2:7" ht="54" customHeight="1">
      <c r="B26" s="55"/>
      <c r="C26" s="256" t="s">
        <v>329</v>
      </c>
      <c r="D26" s="257"/>
      <c r="E26" s="251">
        <f>'CO2 Imports and Exports'!C9</f>
        <v>0</v>
      </c>
      <c r="F26" s="607"/>
      <c r="G26" s="56"/>
    </row>
    <row r="27" spans="2:7" ht="15.75" customHeight="1">
      <c r="B27" s="55"/>
      <c r="C27" s="605"/>
      <c r="D27" s="606"/>
      <c r="E27" s="606"/>
      <c r="F27" s="607"/>
      <c r="G27" s="56"/>
    </row>
    <row r="28" spans="2:7" ht="69.75" customHeight="1">
      <c r="B28" s="55"/>
      <c r="C28" s="256" t="s">
        <v>330</v>
      </c>
      <c r="D28" s="257"/>
      <c r="E28" s="121">
        <f>'CO2 Imports and Exports'!E21</f>
        <v>0</v>
      </c>
      <c r="F28" s="93"/>
      <c r="G28" s="56"/>
    </row>
    <row r="29" spans="2:7" ht="24" customHeight="1" thickBot="1">
      <c r="B29" s="78"/>
      <c r="C29" s="248"/>
      <c r="D29" s="248"/>
      <c r="E29" s="249"/>
      <c r="F29" s="91"/>
      <c r="G29" s="75"/>
    </row>
    <row r="30" spans="3:5" ht="15.75" thickTop="1">
      <c r="C30" s="172"/>
      <c r="D30" s="172"/>
      <c r="E30" s="242"/>
    </row>
    <row r="31" spans="3:5" ht="15">
      <c r="C31" s="172"/>
      <c r="D31" s="172"/>
      <c r="E31" s="242"/>
    </row>
    <row r="32" spans="3:5" ht="15.75" thickBot="1">
      <c r="C32" s="172"/>
      <c r="D32" s="172"/>
      <c r="E32" s="242"/>
    </row>
    <row r="33" spans="2:7" ht="13.5" thickTop="1">
      <c r="B33" s="85"/>
      <c r="C33" s="86"/>
      <c r="D33" s="86"/>
      <c r="E33" s="86"/>
      <c r="F33" s="86"/>
      <c r="G33" s="83"/>
    </row>
    <row r="34" spans="2:7" ht="12.75">
      <c r="B34" s="87"/>
      <c r="C34" s="1325" t="s">
        <v>464</v>
      </c>
      <c r="D34" s="1325"/>
      <c r="E34" s="1325"/>
      <c r="F34" s="1325"/>
      <c r="G34" s="84"/>
    </row>
    <row r="35" spans="2:7" ht="12.75">
      <c r="B35" s="87"/>
      <c r="C35" s="1325"/>
      <c r="D35" s="1325"/>
      <c r="E35" s="1325"/>
      <c r="F35" s="1325"/>
      <c r="G35" s="84"/>
    </row>
    <row r="36" spans="2:7" ht="12.75">
      <c r="B36" s="87"/>
      <c r="C36" s="93"/>
      <c r="D36" s="93"/>
      <c r="E36" s="93"/>
      <c r="F36" s="93"/>
      <c r="G36" s="84"/>
    </row>
    <row r="37" spans="2:7" ht="19.5">
      <c r="B37" s="87"/>
      <c r="C37" s="256" t="s">
        <v>604</v>
      </c>
      <c r="D37" s="257"/>
      <c r="E37" s="121">
        <f>'Direct-CH4 &amp; N2O'!J38+'Direct - Waste Mngmt.'!K28</f>
        <v>0</v>
      </c>
      <c r="F37" s="93"/>
      <c r="G37" s="84"/>
    </row>
    <row r="38" spans="2:7" ht="12.75">
      <c r="B38" s="87"/>
      <c r="C38" s="93"/>
      <c r="D38" s="93"/>
      <c r="E38" s="93"/>
      <c r="F38" s="93"/>
      <c r="G38" s="84"/>
    </row>
    <row r="39" spans="2:7" ht="12.75">
      <c r="B39" s="87"/>
      <c r="C39" s="93"/>
      <c r="D39" s="93"/>
      <c r="E39" s="93"/>
      <c r="F39" s="93"/>
      <c r="G39" s="84"/>
    </row>
    <row r="40" spans="2:7" ht="19.5">
      <c r="B40" s="87"/>
      <c r="C40" s="1048" t="s">
        <v>605</v>
      </c>
      <c r="D40" s="257"/>
      <c r="E40" s="121">
        <f>'Direct-CH4 &amp; N2O'!K38</f>
        <v>0</v>
      </c>
      <c r="F40" s="93"/>
      <c r="G40" s="84"/>
    </row>
    <row r="41" spans="2:7" ht="12.75">
      <c r="B41" s="87"/>
      <c r="C41" s="93"/>
      <c r="D41" s="93"/>
      <c r="E41" s="93"/>
      <c r="F41" s="93"/>
      <c r="G41" s="84"/>
    </row>
    <row r="42" spans="2:7" ht="19.5">
      <c r="B42" s="87"/>
      <c r="C42" s="256" t="s">
        <v>606</v>
      </c>
      <c r="D42" s="257"/>
      <c r="E42" s="121">
        <f>'Direct-SO2'!K34</f>
        <v>0</v>
      </c>
      <c r="F42" s="93"/>
      <c r="G42" s="84"/>
    </row>
    <row r="43" spans="2:7" ht="12.75">
      <c r="B43" s="87"/>
      <c r="C43" s="93"/>
      <c r="D43" s="93"/>
      <c r="E43" s="93"/>
      <c r="F43" s="93"/>
      <c r="G43" s="84"/>
    </row>
    <row r="44" spans="2:7" ht="15">
      <c r="B44" s="87"/>
      <c r="C44" s="1310" t="s">
        <v>673</v>
      </c>
      <c r="D44" s="257"/>
      <c r="E44" s="1313">
        <f>'Direct - Waste Mngmt.'!L28+'Supporting Info. on Biomass'!I66</f>
        <v>0</v>
      </c>
      <c r="F44" s="93"/>
      <c r="G44" s="84"/>
    </row>
    <row r="45" spans="2:7" ht="15">
      <c r="B45" s="87"/>
      <c r="C45" s="1311"/>
      <c r="D45" s="257"/>
      <c r="E45" s="1314"/>
      <c r="F45" s="93"/>
      <c r="G45" s="84"/>
    </row>
    <row r="46" spans="2:7" ht="15">
      <c r="B46" s="87"/>
      <c r="C46" s="1312"/>
      <c r="D46" s="257"/>
      <c r="E46" s="1315"/>
      <c r="F46" s="93"/>
      <c r="G46" s="84"/>
    </row>
    <row r="47" spans="2:7" ht="13.5" thickBot="1">
      <c r="B47" s="90"/>
      <c r="C47" s="91"/>
      <c r="D47" s="91"/>
      <c r="E47" s="91"/>
      <c r="F47" s="91"/>
      <c r="G47" s="1049"/>
    </row>
    <row r="48" ht="13.5" thickTop="1"/>
  </sheetData>
  <mergeCells count="9">
    <mergeCell ref="C44:C46"/>
    <mergeCell ref="E44:E46"/>
    <mergeCell ref="A1:W1"/>
    <mergeCell ref="C2:G2"/>
    <mergeCell ref="C20:E20"/>
    <mergeCell ref="C25:F25"/>
    <mergeCell ref="E7:F7"/>
    <mergeCell ref="E5:F5"/>
    <mergeCell ref="C34:F35"/>
  </mergeCells>
  <printOptions horizontalCentered="1"/>
  <pageMargins left="0.75" right="0.75" top="1" bottom="1" header="0.5" footer="0.5"/>
  <pageSetup fitToHeight="1" fitToWidth="1" horizontalDpi="600" verticalDpi="600" orientation="portrait" scale="56" r:id="rId1"/>
  <headerFooter alignWithMargins="0">
    <oddHeader>&amp;L
&amp;F&amp;R&amp;D</oddHeader>
  </headerFooter>
</worksheet>
</file>

<file path=xl/worksheets/sheet17.xml><?xml version="1.0" encoding="utf-8"?>
<worksheet xmlns="http://schemas.openxmlformats.org/spreadsheetml/2006/main" xmlns:r="http://schemas.openxmlformats.org/officeDocument/2006/relationships">
  <sheetPr codeName="Hoja16">
    <pageSetUpPr fitToPage="1"/>
  </sheetPr>
  <dimension ref="A1:W43"/>
  <sheetViews>
    <sheetView zoomScale="75" zoomScaleNormal="75" workbookViewId="0" topLeftCell="A1">
      <selection activeCell="A3" sqref="A3"/>
    </sheetView>
  </sheetViews>
  <sheetFormatPr defaultColWidth="11.421875" defaultRowHeight="12.75"/>
  <cols>
    <col min="1" max="1" width="9.140625" style="4" customWidth="1"/>
    <col min="2" max="2" width="3.8515625" style="4" customWidth="1"/>
    <col min="3" max="3" width="23.00390625" style="4" customWidth="1"/>
    <col min="4" max="4" width="20.7109375" style="4" customWidth="1"/>
    <col min="5" max="5" width="21.7109375" style="4" customWidth="1"/>
    <col min="6" max="6" width="22.00390625" style="4" customWidth="1"/>
    <col min="7" max="7" width="4.8515625" style="4" customWidth="1"/>
    <col min="8" max="8" width="14.7109375" style="4" customWidth="1"/>
    <col min="9" max="9" width="15.7109375" style="4" customWidth="1"/>
    <col min="10" max="16384" width="9.7109375" style="4" customWidth="1"/>
  </cols>
  <sheetData>
    <row r="1" spans="1:23" ht="12.75" customHeight="1">
      <c r="A1" s="1228" t="s">
        <v>628</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pans="1:6" ht="15">
      <c r="A2" s="976"/>
      <c r="B2" s="1"/>
      <c r="C2" s="1"/>
      <c r="D2" s="1"/>
      <c r="E2" s="1"/>
      <c r="F2" s="1"/>
    </row>
    <row r="3" s="15" customFormat="1" ht="15.75"/>
    <row r="4" spans="2:20" s="15" customFormat="1" ht="18" customHeight="1">
      <c r="B4" s="1261" t="s">
        <v>331</v>
      </c>
      <c r="C4" s="1261"/>
      <c r="D4" s="1261"/>
      <c r="E4" s="1261"/>
      <c r="F4" s="1261"/>
      <c r="G4" s="1261"/>
      <c r="H4" s="1261"/>
      <c r="I4" s="975"/>
      <c r="J4" s="975"/>
      <c r="K4" s="975"/>
      <c r="L4" s="975"/>
      <c r="M4" s="975"/>
      <c r="N4" s="975"/>
      <c r="O4" s="975"/>
      <c r="P4" s="975"/>
      <c r="Q4" s="975"/>
      <c r="R4" s="975"/>
      <c r="S4" s="975"/>
      <c r="T4" s="975"/>
    </row>
    <row r="5" spans="3:7" s="15" customFormat="1" ht="18" customHeight="1">
      <c r="C5" s="1326" t="s">
        <v>68</v>
      </c>
      <c r="D5" s="1326"/>
      <c r="E5" s="1326"/>
      <c r="F5" s="1326"/>
      <c r="G5" s="1326"/>
    </row>
    <row r="6" s="15" customFormat="1" ht="18" customHeight="1" thickBot="1"/>
    <row r="7" spans="2:7" s="15" customFormat="1" ht="25.5" customHeight="1" thickTop="1">
      <c r="B7" s="618" t="s">
        <v>207</v>
      </c>
      <c r="C7" s="611"/>
      <c r="D7" s="613"/>
      <c r="E7" s="611"/>
      <c r="F7" s="611"/>
      <c r="G7" s="622"/>
    </row>
    <row r="8" spans="2:7" s="15" customFormat="1" ht="15.75">
      <c r="B8" s="771"/>
      <c r="C8" s="970" t="s">
        <v>454</v>
      </c>
      <c r="E8" s="150"/>
      <c r="F8" s="977"/>
      <c r="G8" s="367"/>
    </row>
    <row r="9" spans="2:7" s="15" customFormat="1" ht="15.75">
      <c r="B9" s="617"/>
      <c r="C9" s="970" t="s">
        <v>448</v>
      </c>
      <c r="D9" s="282"/>
      <c r="E9" s="576"/>
      <c r="G9" s="367"/>
    </row>
    <row r="10" spans="2:7" s="15" customFormat="1" ht="15.75">
      <c r="B10" s="617"/>
      <c r="C10" s="970" t="s">
        <v>404</v>
      </c>
      <c r="E10" s="153"/>
      <c r="G10" s="367"/>
    </row>
    <row r="11" spans="2:7" s="15" customFormat="1" ht="19.5" customHeight="1" thickBot="1">
      <c r="B11" s="609"/>
      <c r="C11" s="559"/>
      <c r="D11" s="559"/>
      <c r="E11" s="559"/>
      <c r="F11" s="559"/>
      <c r="G11" s="610"/>
    </row>
    <row r="12" s="1" customFormat="1" ht="19.5" customHeight="1" thickBot="1" thickTop="1">
      <c r="B12" s="2"/>
    </row>
    <row r="13" spans="2:7" s="1" customFormat="1" ht="19.5" customHeight="1" thickTop="1">
      <c r="B13" s="52"/>
      <c r="C13" s="53"/>
      <c r="D13" s="53"/>
      <c r="E13" s="53"/>
      <c r="F13" s="53"/>
      <c r="G13" s="54"/>
    </row>
    <row r="14" spans="2:7" ht="19.5" customHeight="1">
      <c r="B14" s="55"/>
      <c r="C14" s="164"/>
      <c r="D14" s="22" t="s">
        <v>409</v>
      </c>
      <c r="E14" s="22" t="s">
        <v>410</v>
      </c>
      <c r="F14" s="22" t="s">
        <v>414</v>
      </c>
      <c r="G14" s="56"/>
    </row>
    <row r="15" spans="2:7" ht="19.5" customHeight="1">
      <c r="B15" s="55"/>
      <c r="C15" s="165"/>
      <c r="D15" s="22" t="s">
        <v>332</v>
      </c>
      <c r="E15" s="22" t="s">
        <v>333</v>
      </c>
      <c r="F15" s="22" t="s">
        <v>812</v>
      </c>
      <c r="G15" s="56"/>
    </row>
    <row r="16" spans="2:7" ht="19.5" customHeight="1">
      <c r="B16" s="55"/>
      <c r="C16" s="165"/>
      <c r="D16" s="25"/>
      <c r="F16" s="115" t="s">
        <v>884</v>
      </c>
      <c r="G16" s="56"/>
    </row>
    <row r="17" spans="2:7" ht="19.5" customHeight="1">
      <c r="B17" s="55"/>
      <c r="C17" s="165"/>
      <c r="D17" s="115" t="s">
        <v>334</v>
      </c>
      <c r="E17" s="115" t="s">
        <v>403</v>
      </c>
      <c r="F17" s="115" t="s">
        <v>885</v>
      </c>
      <c r="G17" s="56"/>
    </row>
    <row r="18" spans="2:7" ht="33.75" customHeight="1">
      <c r="B18" s="55"/>
      <c r="C18" s="165"/>
      <c r="D18" s="115"/>
      <c r="E18" s="171" t="s">
        <v>335</v>
      </c>
      <c r="F18" s="115"/>
      <c r="G18" s="56"/>
    </row>
    <row r="19" spans="2:7" ht="19.5" customHeight="1">
      <c r="B19" s="55"/>
      <c r="C19" s="163"/>
      <c r="D19" s="106"/>
      <c r="E19" s="107"/>
      <c r="F19" s="108"/>
      <c r="G19" s="56"/>
    </row>
    <row r="20" spans="2:7" ht="19.5" customHeight="1">
      <c r="B20" s="55"/>
      <c r="C20" s="166" t="s">
        <v>336</v>
      </c>
      <c r="D20" s="23"/>
      <c r="E20" s="23"/>
      <c r="F20" s="26"/>
      <c r="G20" s="56"/>
    </row>
    <row r="21" spans="2:7" ht="19.5" customHeight="1">
      <c r="B21" s="55"/>
      <c r="C21" s="24"/>
      <c r="D21" s="773"/>
      <c r="E21" s="773"/>
      <c r="F21" s="121">
        <f>IF(D21=0,0,3.664*1000*E21/D21)</f>
        <v>0</v>
      </c>
      <c r="G21" s="56"/>
    </row>
    <row r="22" spans="2:7" ht="19.5" customHeight="1">
      <c r="B22" s="55"/>
      <c r="C22" s="24"/>
      <c r="D22" s="773"/>
      <c r="E22" s="773"/>
      <c r="F22" s="121">
        <f>IF(D22=0,0,3.664*1000*E22/D22)</f>
        <v>0</v>
      </c>
      <c r="G22" s="56"/>
    </row>
    <row r="23" spans="2:7" ht="19.5" customHeight="1">
      <c r="B23" s="55"/>
      <c r="C23" s="24"/>
      <c r="D23" s="773"/>
      <c r="E23" s="773"/>
      <c r="F23" s="121">
        <f>IF(D23=0,0,3.664*1000*E23/D23)</f>
        <v>0</v>
      </c>
      <c r="G23" s="56"/>
    </row>
    <row r="24" spans="2:7" ht="19.5" customHeight="1">
      <c r="B24" s="55"/>
      <c r="C24" s="24"/>
      <c r="D24" s="773"/>
      <c r="E24" s="773"/>
      <c r="F24" s="121">
        <f>IF(D24=0,0,3.664*1000*E24/D24)</f>
        <v>0</v>
      </c>
      <c r="G24" s="56"/>
    </row>
    <row r="25" spans="2:7" ht="19.5" customHeight="1">
      <c r="B25" s="55"/>
      <c r="C25" s="24"/>
      <c r="D25" s="773"/>
      <c r="E25" s="773"/>
      <c r="F25" s="121">
        <f>IF(D25=0,0,3.664*1000*E25/D25)</f>
        <v>0</v>
      </c>
      <c r="G25" s="56"/>
    </row>
    <row r="26" spans="2:7" ht="19.5" customHeight="1" thickBot="1">
      <c r="B26" s="78"/>
      <c r="C26" s="79"/>
      <c r="D26" s="79"/>
      <c r="E26" s="79"/>
      <c r="F26" s="79"/>
      <c r="G26" s="75"/>
    </row>
    <row r="27" ht="13.5" thickTop="1"/>
    <row r="31" spans="6:8" ht="12.75">
      <c r="F31" s="133"/>
      <c r="H31" s="744"/>
    </row>
    <row r="32" ht="12.75">
      <c r="F32" s="745"/>
    </row>
    <row r="37" ht="12.75">
      <c r="F37" s="745"/>
    </row>
    <row r="41" spans="8:9" ht="12.75">
      <c r="H41" s="133"/>
      <c r="I41" s="744"/>
    </row>
    <row r="43" ht="12.75">
      <c r="H43" s="745"/>
    </row>
  </sheetData>
  <mergeCells count="3">
    <mergeCell ref="A1:W1"/>
    <mergeCell ref="B4:H4"/>
    <mergeCell ref="C5:G5"/>
  </mergeCells>
  <printOptions/>
  <pageMargins left="0.75" right="0.75" top="1" bottom="1" header="0.5" footer="0.5"/>
  <pageSetup fitToHeight="1" fitToWidth="1" horizontalDpi="600" verticalDpi="600" orientation="portrait" paperSize="9" scale="72" r:id="rId3"/>
  <legacyDrawing r:id="rId2"/>
</worksheet>
</file>

<file path=xl/worksheets/sheet18.xml><?xml version="1.0" encoding="utf-8"?>
<worksheet xmlns="http://schemas.openxmlformats.org/spreadsheetml/2006/main" xmlns:r="http://schemas.openxmlformats.org/officeDocument/2006/relationships">
  <sheetPr codeName="Hoja17"/>
  <dimension ref="A1:W43"/>
  <sheetViews>
    <sheetView zoomScale="80" zoomScaleNormal="80" workbookViewId="0" topLeftCell="A1">
      <selection activeCell="A1" sqref="A1:W1"/>
    </sheetView>
  </sheetViews>
  <sheetFormatPr defaultColWidth="11.421875" defaultRowHeight="12.75"/>
  <cols>
    <col min="1" max="1" width="4.00390625" style="0" customWidth="1"/>
    <col min="2" max="2" width="60.7109375" style="0" customWidth="1"/>
    <col min="3" max="3" width="13.8515625" style="0" customWidth="1"/>
    <col min="4" max="4" width="16.28125" style="839" customWidth="1"/>
    <col min="5" max="5" width="8.28125" style="0" customWidth="1"/>
    <col min="6" max="6" width="21.28125" style="0" customWidth="1"/>
    <col min="7" max="8" width="9.140625" style="0" customWidth="1"/>
    <col min="9" max="9" width="17.421875" style="0" customWidth="1"/>
    <col min="10" max="16384" width="9.140625" style="0" customWidth="1"/>
  </cols>
  <sheetData>
    <row r="1" spans="1:23" s="29" customFormat="1" ht="18" customHeight="1">
      <c r="A1" s="1228" t="s">
        <v>147</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pans="1:6" s="29" customFormat="1" ht="18" customHeight="1">
      <c r="A2" s="1261" t="s">
        <v>337</v>
      </c>
      <c r="B2" s="1261"/>
      <c r="C2" s="1261"/>
      <c r="D2" s="1261"/>
      <c r="E2" s="1261"/>
      <c r="F2" s="1261"/>
    </row>
    <row r="3" spans="1:9" s="29" customFormat="1" ht="18" customHeight="1">
      <c r="A3" s="1332" t="s">
        <v>338</v>
      </c>
      <c r="B3" s="1333"/>
      <c r="C3" s="1333"/>
      <c r="D3" s="1333"/>
      <c r="E3" s="1333"/>
      <c r="F3" s="842"/>
      <c r="G3" s="842"/>
      <c r="H3" s="842"/>
      <c r="I3" s="842"/>
    </row>
    <row r="4" spans="1:5" s="29" customFormat="1" ht="18" customHeight="1" thickBot="1">
      <c r="A4" s="1298"/>
      <c r="B4" s="1298"/>
      <c r="C4" s="1298"/>
      <c r="D4" s="1298"/>
      <c r="E4" s="1298"/>
    </row>
    <row r="5" spans="1:10" ht="14.25" thickBot="1" thickTop="1">
      <c r="A5" s="52"/>
      <c r="B5" s="53"/>
      <c r="C5" s="53"/>
      <c r="D5" s="838"/>
      <c r="E5" s="54"/>
      <c r="F5" s="1"/>
      <c r="G5" s="1"/>
      <c r="H5" s="1"/>
      <c r="I5" s="1"/>
      <c r="J5" s="832"/>
    </row>
    <row r="6" spans="1:10" ht="12.75">
      <c r="A6" s="55"/>
      <c r="B6" s="1153" t="s">
        <v>339</v>
      </c>
      <c r="C6" s="1327"/>
      <c r="D6" s="1328"/>
      <c r="E6" s="84"/>
      <c r="F6" s="866"/>
      <c r="G6" s="830"/>
      <c r="H6" s="830"/>
      <c r="I6" s="830"/>
      <c r="J6" s="1"/>
    </row>
    <row r="7" spans="1:10" ht="13.5" thickBot="1">
      <c r="A7" s="55"/>
      <c r="B7" s="1329"/>
      <c r="C7" s="1330"/>
      <c r="D7" s="1331"/>
      <c r="E7" s="84"/>
      <c r="F7" s="830"/>
      <c r="G7" s="830"/>
      <c r="H7" s="830"/>
      <c r="I7" s="830"/>
      <c r="J7" s="1"/>
    </row>
    <row r="8" spans="1:10" ht="12.75">
      <c r="A8" s="55"/>
      <c r="B8" s="1029" t="s">
        <v>455</v>
      </c>
      <c r="C8" s="833" t="s">
        <v>266</v>
      </c>
      <c r="D8" s="983" t="s">
        <v>340</v>
      </c>
      <c r="E8" s="834"/>
      <c r="F8" s="831"/>
      <c r="G8" s="831"/>
      <c r="H8" s="831"/>
      <c r="I8" s="831"/>
      <c r="J8" s="1"/>
    </row>
    <row r="9" spans="1:5" ht="12.75">
      <c r="A9" s="869">
        <v>34</v>
      </c>
      <c r="B9" s="935" t="s">
        <v>650</v>
      </c>
      <c r="C9" s="42" t="s">
        <v>369</v>
      </c>
      <c r="D9" s="1056">
        <v>0.0402</v>
      </c>
      <c r="E9" s="835"/>
    </row>
    <row r="10" spans="1:5" ht="25.5">
      <c r="A10" s="869">
        <v>34</v>
      </c>
      <c r="B10" s="935" t="s">
        <v>651</v>
      </c>
      <c r="C10" s="42" t="s">
        <v>369</v>
      </c>
      <c r="D10" s="1056">
        <v>0.0402</v>
      </c>
      <c r="E10" s="835"/>
    </row>
    <row r="11" spans="1:5" ht="25.5">
      <c r="A11" s="869">
        <v>34</v>
      </c>
      <c r="B11" s="935" t="s">
        <v>113</v>
      </c>
      <c r="C11" s="42" t="s">
        <v>369</v>
      </c>
      <c r="D11" s="1056">
        <v>0.0402</v>
      </c>
      <c r="E11" s="835"/>
    </row>
    <row r="12" spans="1:5" ht="12.75">
      <c r="A12" s="869">
        <v>34</v>
      </c>
      <c r="B12" s="935" t="s">
        <v>114</v>
      </c>
      <c r="C12" s="42" t="s">
        <v>363</v>
      </c>
      <c r="D12" s="1030">
        <v>0.0323</v>
      </c>
      <c r="E12" s="835"/>
    </row>
    <row r="13" spans="1:5" ht="25.5">
      <c r="A13" s="869">
        <v>34</v>
      </c>
      <c r="B13" s="935" t="s">
        <v>117</v>
      </c>
      <c r="C13" s="42" t="s">
        <v>363</v>
      </c>
      <c r="D13" s="1030">
        <v>0.0296</v>
      </c>
      <c r="E13" s="835"/>
    </row>
    <row r="14" spans="1:5" ht="25.5">
      <c r="A14" s="869">
        <v>34</v>
      </c>
      <c r="B14" s="935" t="s">
        <v>118</v>
      </c>
      <c r="C14" s="42" t="s">
        <v>363</v>
      </c>
      <c r="D14" s="1030">
        <v>0.0296</v>
      </c>
      <c r="E14" s="835"/>
    </row>
    <row r="15" spans="1:5" ht="25.5">
      <c r="A15" s="869">
        <v>34</v>
      </c>
      <c r="B15" s="935" t="s">
        <v>119</v>
      </c>
      <c r="C15" s="42" t="s">
        <v>363</v>
      </c>
      <c r="D15" s="1030">
        <v>0.0296</v>
      </c>
      <c r="E15" s="835"/>
    </row>
    <row r="16" spans="1:5" ht="25.5">
      <c r="A16" s="869">
        <v>34</v>
      </c>
      <c r="B16" s="935" t="s">
        <v>120</v>
      </c>
      <c r="C16" s="42" t="s">
        <v>363</v>
      </c>
      <c r="D16" s="1030">
        <v>0.0296</v>
      </c>
      <c r="E16" s="835"/>
    </row>
    <row r="17" spans="1:5" ht="25.5">
      <c r="A17" s="869">
        <v>34</v>
      </c>
      <c r="B17" s="935" t="s">
        <v>121</v>
      </c>
      <c r="C17" s="42" t="s">
        <v>363</v>
      </c>
      <c r="D17" s="1030">
        <v>0.0296</v>
      </c>
      <c r="E17" s="835"/>
    </row>
    <row r="18" spans="1:5" ht="25.5">
      <c r="A18" s="869">
        <v>34</v>
      </c>
      <c r="B18" s="935" t="s">
        <v>122</v>
      </c>
      <c r="C18" s="42" t="s">
        <v>363</v>
      </c>
      <c r="D18" s="1030">
        <v>0.0296</v>
      </c>
      <c r="E18" s="835"/>
    </row>
    <row r="19" spans="1:5" ht="25.5">
      <c r="A19" s="869">
        <v>34</v>
      </c>
      <c r="B19" s="935" t="s">
        <v>123</v>
      </c>
      <c r="C19" s="42" t="s">
        <v>363</v>
      </c>
      <c r="D19" s="1030">
        <v>0.0296</v>
      </c>
      <c r="E19" s="835"/>
    </row>
    <row r="20" spans="1:5" ht="25.5">
      <c r="A20" s="869">
        <v>34</v>
      </c>
      <c r="B20" s="935" t="s">
        <v>124</v>
      </c>
      <c r="C20" s="42" t="s">
        <v>363</v>
      </c>
      <c r="D20" s="1030">
        <v>0.023</v>
      </c>
      <c r="E20" s="835"/>
    </row>
    <row r="21" spans="1:5" ht="25.5">
      <c r="A21" s="869">
        <v>35</v>
      </c>
      <c r="B21" s="935" t="s">
        <v>125</v>
      </c>
      <c r="C21" s="42" t="s">
        <v>363</v>
      </c>
      <c r="D21" s="1030">
        <v>0.023</v>
      </c>
      <c r="E21" s="835"/>
    </row>
    <row r="22" spans="1:5" ht="25.5">
      <c r="A22" s="869"/>
      <c r="B22" s="935" t="s">
        <v>126</v>
      </c>
      <c r="C22" s="42" t="s">
        <v>363</v>
      </c>
      <c r="D22" s="1030">
        <v>0.023</v>
      </c>
      <c r="E22" s="835"/>
    </row>
    <row r="23" spans="1:5" ht="12.75">
      <c r="A23" s="869"/>
      <c r="B23" s="935" t="s">
        <v>127</v>
      </c>
      <c r="C23" s="42" t="s">
        <v>363</v>
      </c>
      <c r="D23" s="1030">
        <v>0.0326</v>
      </c>
      <c r="E23" s="835"/>
    </row>
    <row r="24" spans="1:5" ht="38.25">
      <c r="A24" s="869"/>
      <c r="B24" s="935" t="s">
        <v>128</v>
      </c>
      <c r="C24" s="865" t="s">
        <v>369</v>
      </c>
      <c r="D24" s="1031">
        <v>0.034977042581294415</v>
      </c>
      <c r="E24" s="835"/>
    </row>
    <row r="25" spans="1:5" ht="38.25">
      <c r="A25" s="869"/>
      <c r="B25" s="935" t="s">
        <v>129</v>
      </c>
      <c r="C25" s="865" t="s">
        <v>369</v>
      </c>
      <c r="D25" s="1031">
        <v>0.034977042581294415</v>
      </c>
      <c r="E25" s="835"/>
    </row>
    <row r="26" spans="1:5" ht="38.25">
      <c r="A26" s="869"/>
      <c r="B26" s="935" t="s">
        <v>130</v>
      </c>
      <c r="C26" s="865" t="s">
        <v>369</v>
      </c>
      <c r="D26" s="1031">
        <v>0.034977042581294415</v>
      </c>
      <c r="E26" s="835"/>
    </row>
    <row r="27" spans="1:5" ht="38.25">
      <c r="A27" s="869"/>
      <c r="B27" s="935" t="s">
        <v>131</v>
      </c>
      <c r="C27" s="865" t="s">
        <v>369</v>
      </c>
      <c r="D27" s="1031">
        <v>0.034977042581294415</v>
      </c>
      <c r="E27" s="835"/>
    </row>
    <row r="28" spans="1:5" ht="12.75">
      <c r="A28" s="978"/>
      <c r="B28" s="935" t="s">
        <v>132</v>
      </c>
      <c r="C28" s="865" t="s">
        <v>369</v>
      </c>
      <c r="D28" s="1031">
        <v>0.0234</v>
      </c>
      <c r="E28" s="835"/>
    </row>
    <row r="29" spans="1:5" ht="14.25">
      <c r="A29" s="978"/>
      <c r="B29" s="940" t="s">
        <v>139</v>
      </c>
      <c r="C29" s="865" t="s">
        <v>369</v>
      </c>
      <c r="D29" s="1031">
        <v>0.033913</v>
      </c>
      <c r="E29" s="835"/>
    </row>
    <row r="30" spans="1:5" ht="14.25">
      <c r="A30" s="978"/>
      <c r="B30" s="935" t="s">
        <v>140</v>
      </c>
      <c r="C30" s="865" t="s">
        <v>341</v>
      </c>
      <c r="D30" s="1031">
        <v>0.033913</v>
      </c>
      <c r="E30" s="835"/>
    </row>
    <row r="31" spans="1:5" ht="14.25">
      <c r="A31" s="978"/>
      <c r="B31" s="935" t="s">
        <v>141</v>
      </c>
      <c r="C31" s="865" t="s">
        <v>341</v>
      </c>
      <c r="D31" s="1031">
        <v>0.033913</v>
      </c>
      <c r="E31" s="835"/>
    </row>
    <row r="32" spans="1:5" ht="14.25">
      <c r="A32" s="978"/>
      <c r="B32" s="935" t="s">
        <v>142</v>
      </c>
      <c r="C32" s="865" t="s">
        <v>341</v>
      </c>
      <c r="D32" s="1031">
        <v>0.033913</v>
      </c>
      <c r="E32" s="835"/>
    </row>
    <row r="33" spans="1:5" ht="27">
      <c r="A33" s="978"/>
      <c r="B33" s="935" t="s">
        <v>143</v>
      </c>
      <c r="C33" s="865" t="s">
        <v>341</v>
      </c>
      <c r="D33" s="1031">
        <v>0.033913</v>
      </c>
      <c r="E33" s="835"/>
    </row>
    <row r="34" spans="1:5" ht="27">
      <c r="A34" s="978"/>
      <c r="B34" s="935" t="s">
        <v>144</v>
      </c>
      <c r="C34" s="865" t="s">
        <v>341</v>
      </c>
      <c r="D34" s="1031">
        <v>0.033913</v>
      </c>
      <c r="E34" s="835"/>
    </row>
    <row r="35" spans="1:5" ht="27">
      <c r="A35" s="978"/>
      <c r="B35" s="935" t="s">
        <v>145</v>
      </c>
      <c r="C35" s="865" t="s">
        <v>341</v>
      </c>
      <c r="D35" s="1031">
        <v>0.033913</v>
      </c>
      <c r="E35" s="835"/>
    </row>
    <row r="36" spans="1:5" ht="25.5">
      <c r="A36" s="978"/>
      <c r="B36" s="935" t="s">
        <v>133</v>
      </c>
      <c r="C36" s="865" t="s">
        <v>369</v>
      </c>
      <c r="D36" s="1031">
        <v>0.031769293666268315</v>
      </c>
      <c r="E36" s="835"/>
    </row>
    <row r="37" spans="1:5" ht="25.5">
      <c r="A37" s="978"/>
      <c r="B37" s="935" t="s">
        <v>134</v>
      </c>
      <c r="C37" s="865" t="s">
        <v>369</v>
      </c>
      <c r="D37" s="1031">
        <v>0.031769293666268315</v>
      </c>
      <c r="E37" s="835"/>
    </row>
    <row r="38" spans="1:5" ht="25.5">
      <c r="A38" s="978"/>
      <c r="B38" s="935" t="s">
        <v>135</v>
      </c>
      <c r="C38" s="865" t="s">
        <v>369</v>
      </c>
      <c r="D38" s="1031">
        <v>0.031769293666268315</v>
      </c>
      <c r="E38" s="835"/>
    </row>
    <row r="39" spans="1:5" ht="12.75">
      <c r="A39" s="978"/>
      <c r="B39" s="936" t="s">
        <v>136</v>
      </c>
      <c r="C39" s="865" t="s">
        <v>369</v>
      </c>
      <c r="D39" s="1031">
        <v>0.04276998553368136</v>
      </c>
      <c r="E39" s="835"/>
    </row>
    <row r="40" spans="1:5" ht="12.75">
      <c r="A40" s="978"/>
      <c r="B40" s="935" t="s">
        <v>137</v>
      </c>
      <c r="C40" s="865" t="s">
        <v>369</v>
      </c>
      <c r="D40" s="1031">
        <v>0.02559280457890433</v>
      </c>
      <c r="E40" s="835"/>
    </row>
    <row r="41" spans="1:5" ht="13.5" thickBot="1">
      <c r="A41" s="978"/>
      <c r="B41" s="935" t="s">
        <v>138</v>
      </c>
      <c r="C41" s="1032" t="s">
        <v>369</v>
      </c>
      <c r="D41" s="1033">
        <v>0.0352349204352475</v>
      </c>
      <c r="E41" s="835"/>
    </row>
    <row r="42" spans="1:5" ht="13.5" thickBot="1">
      <c r="A42" s="979"/>
      <c r="B42" s="904"/>
      <c r="C42" s="904"/>
      <c r="D42" s="904"/>
      <c r="E42" s="905"/>
    </row>
    <row r="43" ht="12.75">
      <c r="B43" t="s">
        <v>466</v>
      </c>
    </row>
  </sheetData>
  <mergeCells count="4">
    <mergeCell ref="B6:D7"/>
    <mergeCell ref="A3:E4"/>
    <mergeCell ref="A2:F2"/>
    <mergeCell ref="A1:W1"/>
  </mergeCells>
  <printOptions/>
  <pageMargins left="0.75" right="0.75" top="0.33" bottom="0.49" header="0.31" footer="0.5"/>
  <pageSetup horizontalDpi="600" verticalDpi="600" orientation="portrait" paperSize="9" scale="55" r:id="rId1"/>
</worksheet>
</file>

<file path=xl/worksheets/sheet19.xml><?xml version="1.0" encoding="utf-8"?>
<worksheet xmlns="http://schemas.openxmlformats.org/spreadsheetml/2006/main" xmlns:r="http://schemas.openxmlformats.org/officeDocument/2006/relationships">
  <sheetPr codeName="Hoja18">
    <pageSetUpPr fitToPage="1"/>
  </sheetPr>
  <dimension ref="A1:W45"/>
  <sheetViews>
    <sheetView zoomScale="75" zoomScaleNormal="75" workbookViewId="0" topLeftCell="A1">
      <selection activeCell="A3" sqref="A3"/>
    </sheetView>
  </sheetViews>
  <sheetFormatPr defaultColWidth="11.421875" defaultRowHeight="12.75"/>
  <cols>
    <col min="1" max="1" width="9.140625" style="4" customWidth="1"/>
    <col min="2" max="2" width="7.8515625" style="4" customWidth="1"/>
    <col min="3" max="3" width="32.140625" style="4" customWidth="1"/>
    <col min="4" max="4" width="37.28125" style="60" customWidth="1"/>
    <col min="5" max="5" width="31.57421875" style="60" customWidth="1"/>
    <col min="6" max="6" width="41.00390625" style="60" customWidth="1"/>
    <col min="7" max="7" width="14.421875" style="4" customWidth="1"/>
    <col min="8" max="8" width="14.7109375" style="4" customWidth="1"/>
    <col min="9" max="16384" width="9.7109375" style="4" customWidth="1"/>
  </cols>
  <sheetData>
    <row r="1" spans="1:23" ht="18" customHeight="1">
      <c r="A1" s="1228" t="s">
        <v>628</v>
      </c>
      <c r="B1" s="1228"/>
      <c r="C1" s="1228"/>
      <c r="D1" s="1228"/>
      <c r="E1" s="1228"/>
      <c r="F1" s="1228"/>
      <c r="G1" s="1228"/>
      <c r="H1" s="1228"/>
      <c r="I1" s="1228"/>
      <c r="J1" s="1228"/>
      <c r="K1" s="1228"/>
      <c r="L1" s="1228"/>
      <c r="M1" s="1228"/>
      <c r="N1" s="1228"/>
      <c r="O1" s="1228"/>
      <c r="P1" s="1228"/>
      <c r="Q1" s="1228"/>
      <c r="R1" s="1228"/>
      <c r="S1" s="1228"/>
      <c r="T1" s="1228"/>
      <c r="U1" s="1228"/>
      <c r="V1" s="1228"/>
      <c r="W1" s="1228"/>
    </row>
    <row r="2" spans="1:5" ht="15">
      <c r="A2" s="976"/>
      <c r="B2" s="1"/>
      <c r="C2" s="1"/>
      <c r="D2" s="58"/>
      <c r="E2" s="58"/>
    </row>
    <row r="3" spans="4:6" s="15" customFormat="1" ht="18" customHeight="1">
      <c r="D3" s="1287" t="s">
        <v>886</v>
      </c>
      <c r="E3" s="1287"/>
      <c r="F3" s="57"/>
    </row>
    <row r="4" spans="4:6" s="15" customFormat="1" ht="18" customHeight="1">
      <c r="D4" s="57"/>
      <c r="E4" s="57"/>
      <c r="F4" s="57"/>
    </row>
    <row r="5" spans="1:6" s="15" customFormat="1" ht="18" customHeight="1">
      <c r="A5" s="39"/>
      <c r="F5" s="57"/>
    </row>
    <row r="6" spans="2:6" s="1" customFormat="1" ht="18" customHeight="1" thickBot="1">
      <c r="B6" s="2"/>
      <c r="D6" s="58"/>
      <c r="E6" s="58"/>
      <c r="F6" s="58"/>
    </row>
    <row r="7" spans="2:7" s="1" customFormat="1" ht="19.5" customHeight="1" thickTop="1">
      <c r="B7" s="52"/>
      <c r="C7" s="53"/>
      <c r="D7" s="99"/>
      <c r="E7" s="99"/>
      <c r="F7" s="99"/>
      <c r="G7" s="54"/>
    </row>
    <row r="8" spans="2:7" s="28" customFormat="1" ht="19.5" customHeight="1">
      <c r="B8" s="92"/>
      <c r="D8" s="1334" t="s">
        <v>887</v>
      </c>
      <c r="E8" s="1334"/>
      <c r="F8" s="59"/>
      <c r="G8" s="96"/>
    </row>
    <row r="9" spans="2:7" s="28" customFormat="1" ht="19.5" customHeight="1">
      <c r="B9" s="92"/>
      <c r="C9" s="30" t="s">
        <v>891</v>
      </c>
      <c r="D9" s="31" t="s">
        <v>408</v>
      </c>
      <c r="E9" s="31" t="s">
        <v>895</v>
      </c>
      <c r="F9" s="31" t="s">
        <v>898</v>
      </c>
      <c r="G9" s="96"/>
    </row>
    <row r="10" spans="2:7" s="28" customFormat="1" ht="19.5" customHeight="1">
      <c r="B10" s="92"/>
      <c r="C10" s="30" t="s">
        <v>892</v>
      </c>
      <c r="D10" s="31" t="s">
        <v>597</v>
      </c>
      <c r="E10" s="31"/>
      <c r="F10" s="31"/>
      <c r="G10" s="96"/>
    </row>
    <row r="11" spans="2:7" s="28" customFormat="1" ht="19.5" customHeight="1">
      <c r="B11" s="92"/>
      <c r="C11" s="30" t="s">
        <v>893</v>
      </c>
      <c r="D11" s="31" t="s">
        <v>598</v>
      </c>
      <c r="E11" s="31" t="s">
        <v>896</v>
      </c>
      <c r="F11" s="31"/>
      <c r="G11" s="96"/>
    </row>
    <row r="12" spans="2:7" s="28" customFormat="1" ht="19.5" customHeight="1">
      <c r="B12" s="92"/>
      <c r="C12" s="30" t="s">
        <v>894</v>
      </c>
      <c r="D12" s="31" t="s">
        <v>599</v>
      </c>
      <c r="E12" s="31" t="s">
        <v>897</v>
      </c>
      <c r="F12" s="31" t="s">
        <v>899</v>
      </c>
      <c r="G12" s="96"/>
    </row>
    <row r="13" spans="2:7" s="28" customFormat="1" ht="19.5" customHeight="1">
      <c r="B13" s="92"/>
      <c r="C13" s="30"/>
      <c r="D13" s="31"/>
      <c r="E13" s="31"/>
      <c r="F13" s="31"/>
      <c r="G13" s="96"/>
    </row>
    <row r="14" spans="2:7" s="28" customFormat="1" ht="19.5" customHeight="1">
      <c r="B14" s="92"/>
      <c r="D14" s="1334" t="s">
        <v>888</v>
      </c>
      <c r="E14" s="1334"/>
      <c r="F14" s="31"/>
      <c r="G14" s="96"/>
    </row>
    <row r="15" spans="2:7" s="28" customFormat="1" ht="19.5" customHeight="1">
      <c r="B15" s="92"/>
      <c r="C15" s="30" t="s">
        <v>900</v>
      </c>
      <c r="D15" s="31" t="s">
        <v>901</v>
      </c>
      <c r="E15" s="31" t="s">
        <v>902</v>
      </c>
      <c r="F15" s="31"/>
      <c r="G15" s="96"/>
    </row>
    <row r="16" spans="2:7" s="28" customFormat="1" ht="19.5" customHeight="1">
      <c r="B16" s="92"/>
      <c r="C16" s="30" t="s">
        <v>900</v>
      </c>
      <c r="D16" s="31" t="s">
        <v>903</v>
      </c>
      <c r="E16" s="31" t="s">
        <v>904</v>
      </c>
      <c r="F16" s="31"/>
      <c r="G16" s="96"/>
    </row>
    <row r="17" spans="2:7" s="28" customFormat="1" ht="19.5" customHeight="1">
      <c r="B17" s="92"/>
      <c r="C17" s="30" t="s">
        <v>905</v>
      </c>
      <c r="D17" s="62" t="s">
        <v>906</v>
      </c>
      <c r="E17" s="31" t="s">
        <v>907</v>
      </c>
      <c r="F17" s="31" t="s">
        <v>908</v>
      </c>
      <c r="G17" s="96"/>
    </row>
    <row r="18" spans="2:7" s="28" customFormat="1" ht="19.5" customHeight="1">
      <c r="B18" s="92"/>
      <c r="C18" s="30" t="s">
        <v>909</v>
      </c>
      <c r="D18" s="31" t="s">
        <v>910</v>
      </c>
      <c r="E18" s="31" t="s">
        <v>911</v>
      </c>
      <c r="F18" s="31" t="s">
        <v>912</v>
      </c>
      <c r="G18" s="96"/>
    </row>
    <row r="19" spans="2:7" s="28" customFormat="1" ht="19.5" customHeight="1">
      <c r="B19" s="92"/>
      <c r="C19" s="30" t="s">
        <v>913</v>
      </c>
      <c r="D19" s="31" t="s">
        <v>914</v>
      </c>
      <c r="E19" s="31" t="s">
        <v>915</v>
      </c>
      <c r="F19" s="31"/>
      <c r="G19" s="96"/>
    </row>
    <row r="20" spans="2:7" s="28" customFormat="1" ht="19.5" customHeight="1">
      <c r="B20" s="92"/>
      <c r="C20" s="30" t="s">
        <v>916</v>
      </c>
      <c r="D20" s="31" t="s">
        <v>917</v>
      </c>
      <c r="E20" s="31" t="s">
        <v>918</v>
      </c>
      <c r="F20" s="31" t="s">
        <v>919</v>
      </c>
      <c r="G20" s="96"/>
    </row>
    <row r="21" spans="2:7" s="28" customFormat="1" ht="19.5" customHeight="1">
      <c r="B21" s="92"/>
      <c r="C21" s="30"/>
      <c r="D21" s="31"/>
      <c r="E21" s="31"/>
      <c r="F21" s="31"/>
      <c r="G21" s="96"/>
    </row>
    <row r="22" spans="2:7" s="28" customFormat="1" ht="19.5" customHeight="1">
      <c r="B22" s="92"/>
      <c r="D22" s="1334" t="s">
        <v>889</v>
      </c>
      <c r="E22" s="1334"/>
      <c r="F22" s="31"/>
      <c r="G22" s="96"/>
    </row>
    <row r="23" spans="2:7" s="28" customFormat="1" ht="19.5" customHeight="1">
      <c r="B23" s="92"/>
      <c r="C23" s="30" t="s">
        <v>921</v>
      </c>
      <c r="D23" s="31" t="s">
        <v>416</v>
      </c>
      <c r="E23" s="31" t="s">
        <v>922</v>
      </c>
      <c r="F23" s="31"/>
      <c r="G23" s="96"/>
    </row>
    <row r="24" spans="2:7" s="28" customFormat="1" ht="19.5" customHeight="1">
      <c r="B24" s="92"/>
      <c r="C24" s="30" t="s">
        <v>420</v>
      </c>
      <c r="D24" s="31" t="s">
        <v>421</v>
      </c>
      <c r="E24" s="31"/>
      <c r="F24" s="31"/>
      <c r="G24" s="96"/>
    </row>
    <row r="25" spans="2:7" s="28" customFormat="1" ht="19.5" customHeight="1">
      <c r="B25" s="92"/>
      <c r="C25" s="30" t="s">
        <v>417</v>
      </c>
      <c r="D25" s="31" t="s">
        <v>923</v>
      </c>
      <c r="E25" s="31" t="s">
        <v>924</v>
      </c>
      <c r="F25" s="31"/>
      <c r="G25" s="96"/>
    </row>
    <row r="26" spans="2:7" s="28" customFormat="1" ht="19.5" customHeight="1">
      <c r="B26" s="92"/>
      <c r="C26" s="30" t="s">
        <v>419</v>
      </c>
      <c r="D26" s="31" t="s">
        <v>434</v>
      </c>
      <c r="E26" s="31"/>
      <c r="F26" s="31"/>
      <c r="G26" s="96"/>
    </row>
    <row r="27" spans="2:7" s="28" customFormat="1" ht="19.5" customHeight="1">
      <c r="B27" s="92"/>
      <c r="C27" s="30" t="s">
        <v>925</v>
      </c>
      <c r="D27" s="31" t="s">
        <v>418</v>
      </c>
      <c r="E27" s="31" t="s">
        <v>926</v>
      </c>
      <c r="F27" s="31"/>
      <c r="G27" s="96"/>
    </row>
    <row r="28" spans="2:7" s="28" customFormat="1" ht="19.5" customHeight="1">
      <c r="B28" s="92"/>
      <c r="C28" s="30" t="s">
        <v>422</v>
      </c>
      <c r="D28" s="31" t="s">
        <v>435</v>
      </c>
      <c r="E28" s="31" t="s">
        <v>423</v>
      </c>
      <c r="F28" s="31" t="s">
        <v>927</v>
      </c>
      <c r="G28" s="96"/>
    </row>
    <row r="29" spans="2:7" s="28" customFormat="1" ht="19.5" customHeight="1">
      <c r="B29" s="92"/>
      <c r="C29" s="30"/>
      <c r="D29" s="31"/>
      <c r="E29" s="31"/>
      <c r="F29" s="31"/>
      <c r="G29" s="96"/>
    </row>
    <row r="30" spans="2:7" s="28" customFormat="1" ht="19.5" customHeight="1">
      <c r="B30" s="92"/>
      <c r="D30" s="1334" t="s">
        <v>890</v>
      </c>
      <c r="E30" s="1334"/>
      <c r="F30" s="31"/>
      <c r="G30" s="96"/>
    </row>
    <row r="31" spans="2:7" s="28" customFormat="1" ht="19.5" customHeight="1">
      <c r="B31" s="92"/>
      <c r="C31" s="30" t="s">
        <v>430</v>
      </c>
      <c r="D31" s="31" t="s">
        <v>436</v>
      </c>
      <c r="E31" s="31"/>
      <c r="F31" s="31"/>
      <c r="G31" s="96"/>
    </row>
    <row r="32" spans="2:7" s="28" customFormat="1" ht="19.5" customHeight="1">
      <c r="B32" s="92"/>
      <c r="C32" s="30" t="s">
        <v>431</v>
      </c>
      <c r="D32" s="31" t="s">
        <v>437</v>
      </c>
      <c r="E32" s="31"/>
      <c r="F32" s="31"/>
      <c r="G32" s="96"/>
    </row>
    <row r="33" spans="2:7" s="28" customFormat="1" ht="19.5" customHeight="1">
      <c r="B33" s="92"/>
      <c r="C33" s="30" t="s">
        <v>432</v>
      </c>
      <c r="D33" s="31" t="s">
        <v>375</v>
      </c>
      <c r="E33" s="31"/>
      <c r="F33" s="31"/>
      <c r="G33" s="96"/>
    </row>
    <row r="34" spans="2:7" s="28" customFormat="1" ht="19.5" customHeight="1">
      <c r="B34" s="92"/>
      <c r="C34" s="30" t="s">
        <v>433</v>
      </c>
      <c r="D34" s="31" t="s">
        <v>376</v>
      </c>
      <c r="E34" s="31"/>
      <c r="F34" s="31"/>
      <c r="G34" s="96"/>
    </row>
    <row r="35" spans="2:7" s="28" customFormat="1" ht="19.5" customHeight="1">
      <c r="B35" s="92"/>
      <c r="C35" s="30" t="s">
        <v>428</v>
      </c>
      <c r="D35" s="31" t="s">
        <v>429</v>
      </c>
      <c r="E35" s="31"/>
      <c r="F35" s="31"/>
      <c r="G35" s="96"/>
    </row>
    <row r="36" spans="2:7" s="28" customFormat="1" ht="19.5" customHeight="1">
      <c r="B36" s="92"/>
      <c r="C36" s="30" t="s">
        <v>427</v>
      </c>
      <c r="D36" s="31" t="s">
        <v>426</v>
      </c>
      <c r="E36" s="31"/>
      <c r="F36" s="31"/>
      <c r="G36" s="96"/>
    </row>
    <row r="37" spans="2:7" s="28" customFormat="1" ht="19.5" customHeight="1">
      <c r="B37" s="92"/>
      <c r="C37" s="30" t="s">
        <v>600</v>
      </c>
      <c r="D37" s="31" t="s">
        <v>425</v>
      </c>
      <c r="E37" s="31" t="s">
        <v>424</v>
      </c>
      <c r="F37" s="31" t="s">
        <v>936</v>
      </c>
      <c r="G37" s="96"/>
    </row>
    <row r="38" spans="2:7" s="28" customFormat="1" ht="19.5" customHeight="1">
      <c r="B38" s="92"/>
      <c r="C38" s="30" t="s">
        <v>928</v>
      </c>
      <c r="D38" s="31" t="s">
        <v>929</v>
      </c>
      <c r="E38" s="31"/>
      <c r="F38" s="31"/>
      <c r="G38" s="96"/>
    </row>
    <row r="39" spans="2:7" s="28" customFormat="1" ht="19.5" customHeight="1">
      <c r="B39" s="92"/>
      <c r="C39" s="30" t="s">
        <v>930</v>
      </c>
      <c r="D39" s="31" t="s">
        <v>931</v>
      </c>
      <c r="E39" s="31"/>
      <c r="F39" s="31"/>
      <c r="G39" s="96"/>
    </row>
    <row r="40" spans="2:7" s="28" customFormat="1" ht="19.5" customHeight="1">
      <c r="B40" s="92"/>
      <c r="C40" s="30" t="s">
        <v>932</v>
      </c>
      <c r="D40" s="31" t="s">
        <v>933</v>
      </c>
      <c r="E40" s="31"/>
      <c r="F40" s="31"/>
      <c r="G40" s="96"/>
    </row>
    <row r="41" spans="2:7" s="28" customFormat="1" ht="19.5" customHeight="1">
      <c r="B41" s="92"/>
      <c r="C41" s="30" t="s">
        <v>934</v>
      </c>
      <c r="D41" s="31" t="s">
        <v>935</v>
      </c>
      <c r="E41" s="31"/>
      <c r="F41" s="31"/>
      <c r="G41" s="96"/>
    </row>
    <row r="42" spans="2:7" s="28" customFormat="1" ht="19.5" customHeight="1">
      <c r="B42" s="92"/>
      <c r="C42" s="94"/>
      <c r="D42" s="95"/>
      <c r="E42" s="95"/>
      <c r="F42" s="95"/>
      <c r="G42" s="96"/>
    </row>
    <row r="43" spans="2:7" s="28" customFormat="1" ht="19.5" customHeight="1">
      <c r="B43" s="92"/>
      <c r="C43" s="101"/>
      <c r="D43" s="101"/>
      <c r="E43" s="101"/>
      <c r="F43" s="101"/>
      <c r="G43" s="96"/>
    </row>
    <row r="44" spans="2:7" s="28" customFormat="1" ht="19.5" customHeight="1">
      <c r="B44" s="92"/>
      <c r="C44" s="100"/>
      <c r="D44" s="132"/>
      <c r="E44" s="101"/>
      <c r="F44" s="101"/>
      <c r="G44" s="96"/>
    </row>
    <row r="45" spans="2:7" ht="19.5" customHeight="1" thickBot="1">
      <c r="B45" s="78"/>
      <c r="C45" s="79"/>
      <c r="D45" s="102"/>
      <c r="E45" s="102"/>
      <c r="F45" s="102"/>
      <c r="G45" s="75"/>
    </row>
    <row r="46" ht="13.5" thickTop="1"/>
    <row r="67" ht="17.25" customHeight="1"/>
    <row r="68" ht="17.25" customHeight="1"/>
    <row r="69" ht="17.25" customHeight="1"/>
    <row r="70" ht="17.25" customHeight="1"/>
    <row r="71" ht="17.25" customHeight="1"/>
  </sheetData>
  <mergeCells count="6">
    <mergeCell ref="A1:W1"/>
    <mergeCell ref="D14:E14"/>
    <mergeCell ref="D22:E22"/>
    <mergeCell ref="D30:E30"/>
    <mergeCell ref="D3:E3"/>
    <mergeCell ref="D8:E8"/>
  </mergeCells>
  <printOptions/>
  <pageMargins left="0.75" right="0.75" top="1" bottom="1" header="0.5" footer="0.5"/>
  <pageSetup fitToHeight="1"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codeName="Hoja2">
    <pageSetUpPr fitToPage="1"/>
  </sheetPr>
  <dimension ref="B1:N26"/>
  <sheetViews>
    <sheetView zoomScale="75" zoomScaleNormal="75" workbookViewId="0" topLeftCell="A1">
      <selection activeCell="A1" sqref="A1"/>
    </sheetView>
  </sheetViews>
  <sheetFormatPr defaultColWidth="11.421875" defaultRowHeight="12.75"/>
  <cols>
    <col min="1" max="1" width="9.140625" style="0" customWidth="1"/>
    <col min="2" max="2" width="5.421875" style="0" customWidth="1"/>
    <col min="3" max="3" width="17.28125" style="0" customWidth="1"/>
    <col min="4" max="6" width="15.28125" style="0" customWidth="1"/>
    <col min="7" max="7" width="24.57421875" style="0" customWidth="1"/>
    <col min="8" max="8" width="9.140625" style="0" customWidth="1"/>
    <col min="9" max="9" width="21.57421875" style="0" customWidth="1"/>
    <col min="10" max="10" width="40.00390625" style="0" customWidth="1"/>
    <col min="11" max="16384" width="9.140625" style="0" customWidth="1"/>
  </cols>
  <sheetData>
    <row r="1" spans="2:10" s="16" customFormat="1" ht="79.5" customHeight="1" thickTop="1">
      <c r="B1" s="1102" t="s">
        <v>823</v>
      </c>
      <c r="C1" s="1103"/>
      <c r="D1" s="1103"/>
      <c r="E1" s="1103"/>
      <c r="F1" s="1103"/>
      <c r="G1" s="1103"/>
      <c r="H1" s="1103"/>
      <c r="I1" s="1103"/>
      <c r="J1" s="1093"/>
    </row>
    <row r="2" spans="2:10" ht="41.25" customHeight="1">
      <c r="B2" s="55"/>
      <c r="C2" s="1082" t="s">
        <v>824</v>
      </c>
      <c r="D2" s="1082"/>
      <c r="E2" s="1082"/>
      <c r="F2" s="1082"/>
      <c r="G2" s="1082"/>
      <c r="H2" s="1082"/>
      <c r="I2" s="1082"/>
      <c r="J2" s="1083"/>
    </row>
    <row r="3" spans="2:10" ht="15.75" customHeight="1">
      <c r="B3" s="55"/>
      <c r="C3" s="63"/>
      <c r="D3" s="63"/>
      <c r="E3" s="63"/>
      <c r="F3" s="63"/>
      <c r="G3" s="63"/>
      <c r="H3" s="63"/>
      <c r="I3" s="63"/>
      <c r="J3" s="56"/>
    </row>
    <row r="4" spans="2:10" ht="12.75">
      <c r="B4" s="55"/>
      <c r="C4" s="1098" t="s">
        <v>115</v>
      </c>
      <c r="D4" s="1099"/>
      <c r="E4" s="1099"/>
      <c r="F4" s="1099"/>
      <c r="G4" s="1099"/>
      <c r="H4" s="1092"/>
      <c r="I4" s="1088"/>
      <c r="J4" s="1089"/>
    </row>
    <row r="5" spans="2:10" ht="12.75">
      <c r="B5" s="55"/>
      <c r="C5" s="1099"/>
      <c r="D5" s="1099"/>
      <c r="E5" s="1099"/>
      <c r="F5" s="1099"/>
      <c r="G5" s="1099"/>
      <c r="H5" s="1092"/>
      <c r="I5" s="1088"/>
      <c r="J5" s="1089"/>
    </row>
    <row r="6" spans="2:10" ht="12.75">
      <c r="B6" s="55"/>
      <c r="C6" s="1099"/>
      <c r="D6" s="1099"/>
      <c r="E6" s="1099"/>
      <c r="F6" s="1099"/>
      <c r="G6" s="1099"/>
      <c r="H6" s="1092"/>
      <c r="I6" s="1088"/>
      <c r="J6" s="1089"/>
    </row>
    <row r="7" spans="2:10" ht="12.75">
      <c r="B7" s="55"/>
      <c r="C7" s="1099"/>
      <c r="D7" s="1099"/>
      <c r="E7" s="1099"/>
      <c r="F7" s="1099"/>
      <c r="G7" s="1099"/>
      <c r="H7" s="1092"/>
      <c r="I7" s="1088"/>
      <c r="J7" s="1089"/>
    </row>
    <row r="8" spans="2:10" ht="15.75" customHeight="1">
      <c r="B8" s="55"/>
      <c r="C8" s="1099"/>
      <c r="D8" s="1099"/>
      <c r="E8" s="1099"/>
      <c r="F8" s="1099"/>
      <c r="G8" s="1099"/>
      <c r="H8" s="1092"/>
      <c r="I8" s="1088"/>
      <c r="J8" s="1089"/>
    </row>
    <row r="9" spans="2:10" ht="102.75" customHeight="1">
      <c r="B9" s="55"/>
      <c r="C9" s="1099"/>
      <c r="D9" s="1099"/>
      <c r="E9" s="1099"/>
      <c r="F9" s="1099"/>
      <c r="G9" s="1099"/>
      <c r="H9" s="1092"/>
      <c r="I9" s="1088"/>
      <c r="J9" s="1089"/>
    </row>
    <row r="10" spans="2:10" ht="12.75" customHeight="1">
      <c r="B10" s="55"/>
      <c r="C10" s="271"/>
      <c r="D10" s="271"/>
      <c r="E10" s="271"/>
      <c r="F10" s="271"/>
      <c r="G10" s="271"/>
      <c r="H10" s="272"/>
      <c r="I10" s="273"/>
      <c r="J10" s="274"/>
    </row>
    <row r="11" spans="2:13" ht="54.75" customHeight="1">
      <c r="B11" s="55"/>
      <c r="C11" s="1094" t="s">
        <v>342</v>
      </c>
      <c r="D11" s="1095"/>
      <c r="E11" s="1095"/>
      <c r="F11" s="1095"/>
      <c r="G11" s="1095"/>
      <c r="H11" s="1095"/>
      <c r="I11" s="1096"/>
      <c r="J11" s="1097"/>
      <c r="M11" s="775"/>
    </row>
    <row r="12" spans="2:13" ht="11.25" customHeight="1">
      <c r="B12" s="55"/>
      <c r="C12" s="1090"/>
      <c r="D12" s="1091"/>
      <c r="E12" s="1091"/>
      <c r="F12" s="1091"/>
      <c r="G12" s="1091"/>
      <c r="H12" s="1091"/>
      <c r="I12" s="63"/>
      <c r="J12" s="56"/>
      <c r="M12" s="775"/>
    </row>
    <row r="13" spans="2:10" s="258" customFormat="1" ht="14.25" customHeight="1">
      <c r="B13" s="76"/>
      <c r="C13" s="77"/>
      <c r="D13" s="245"/>
      <c r="E13" s="77"/>
      <c r="F13" s="77"/>
      <c r="G13" s="77"/>
      <c r="H13" s="77"/>
      <c r="I13" s="77"/>
      <c r="J13" s="104"/>
    </row>
    <row r="14" spans="2:14" s="258" customFormat="1" ht="87" customHeight="1">
      <c r="B14" s="76"/>
      <c r="C14" s="1099" t="s">
        <v>47</v>
      </c>
      <c r="D14" s="1099"/>
      <c r="E14" s="1099"/>
      <c r="F14" s="1099"/>
      <c r="G14" s="1099"/>
      <c r="H14" s="1099"/>
      <c r="I14" s="1099"/>
      <c r="J14" s="1084"/>
      <c r="N14" s="774"/>
    </row>
    <row r="15" spans="2:14" s="258" customFormat="1" ht="43.5" customHeight="1">
      <c r="B15" s="76"/>
      <c r="C15" s="799"/>
      <c r="D15" s="1101" t="s">
        <v>45</v>
      </c>
      <c r="E15" s="1101"/>
      <c r="F15" s="1101"/>
      <c r="G15" s="1101" t="s">
        <v>825</v>
      </c>
      <c r="H15" s="1101"/>
      <c r="I15" s="1101"/>
      <c r="J15" s="104"/>
      <c r="N15" s="774"/>
    </row>
    <row r="16" spans="2:14" s="258" customFormat="1" ht="14.25" customHeight="1">
      <c r="B16" s="76"/>
      <c r="C16" s="77"/>
      <c r="D16" s="245"/>
      <c r="E16" s="77"/>
      <c r="F16" s="77"/>
      <c r="G16" s="77"/>
      <c r="H16" s="77"/>
      <c r="I16" s="77"/>
      <c r="J16" s="104"/>
      <c r="N16" s="774"/>
    </row>
    <row r="17" spans="2:14" s="258" customFormat="1" ht="42.75" customHeight="1">
      <c r="B17" s="76"/>
      <c r="C17" s="1077" t="s">
        <v>343</v>
      </c>
      <c r="D17" s="1077"/>
      <c r="E17" s="1077"/>
      <c r="F17" s="1077"/>
      <c r="G17" s="1077"/>
      <c r="H17" s="1077"/>
      <c r="I17" s="1077"/>
      <c r="J17" s="1078"/>
      <c r="N17" s="774"/>
    </row>
    <row r="18" spans="2:14" s="258" customFormat="1" ht="14.25" customHeight="1">
      <c r="B18" s="76"/>
      <c r="C18" s="77"/>
      <c r="D18" s="245"/>
      <c r="E18" s="77"/>
      <c r="F18" s="77"/>
      <c r="G18" s="77"/>
      <c r="H18" s="77"/>
      <c r="I18" s="77"/>
      <c r="J18" s="104"/>
      <c r="N18" s="774"/>
    </row>
    <row r="19" spans="2:14" s="258" customFormat="1" ht="62.25" customHeight="1">
      <c r="B19" s="76"/>
      <c r="C19" s="777"/>
      <c r="D19" s="1085" t="s">
        <v>344</v>
      </c>
      <c r="E19" s="1085"/>
      <c r="F19" s="1085"/>
      <c r="G19" s="1085"/>
      <c r="H19" s="1085"/>
      <c r="I19" s="1085"/>
      <c r="J19" s="1086"/>
      <c r="N19" s="774"/>
    </row>
    <row r="20" spans="2:14" s="258" customFormat="1" ht="72" customHeight="1">
      <c r="B20" s="76"/>
      <c r="C20" s="777"/>
      <c r="D20" s="1085" t="s">
        <v>345</v>
      </c>
      <c r="E20" s="1085"/>
      <c r="F20" s="1085"/>
      <c r="G20" s="1085"/>
      <c r="H20" s="1085"/>
      <c r="I20" s="1085"/>
      <c r="J20" s="1086"/>
      <c r="N20" s="774"/>
    </row>
    <row r="21" spans="2:14" ht="127.5" customHeight="1">
      <c r="B21" s="55"/>
      <c r="C21" s="777"/>
      <c r="D21" s="1087" t="s">
        <v>346</v>
      </c>
      <c r="E21" s="1087"/>
      <c r="F21" s="1087"/>
      <c r="G21" s="1087"/>
      <c r="H21" s="1087"/>
      <c r="I21" s="1087"/>
      <c r="J21" s="1076"/>
      <c r="N21" s="774"/>
    </row>
    <row r="22" spans="2:14" ht="13.5" customHeight="1" thickBot="1">
      <c r="B22" s="78"/>
      <c r="C22" s="79"/>
      <c r="D22" s="79"/>
      <c r="E22" s="79"/>
      <c r="F22" s="79"/>
      <c r="G22" s="79"/>
      <c r="H22" s="79"/>
      <c r="I22" s="79"/>
      <c r="J22" s="75"/>
      <c r="K22" s="747"/>
      <c r="N22" s="27"/>
    </row>
    <row r="23" spans="3:9" ht="13.5" customHeight="1" thickTop="1">
      <c r="C23" s="32"/>
      <c r="D23" s="32"/>
      <c r="E23" s="32"/>
      <c r="F23" s="32"/>
      <c r="G23" s="32"/>
      <c r="H23" s="32"/>
      <c r="I23" s="32"/>
    </row>
    <row r="24" spans="3:9" ht="13.5" customHeight="1">
      <c r="C24" s="32"/>
      <c r="D24" s="32"/>
      <c r="E24" s="32"/>
      <c r="F24" s="32"/>
      <c r="G24" s="32"/>
      <c r="H24" s="32"/>
      <c r="I24" s="32"/>
    </row>
    <row r="25" spans="3:9" ht="13.5" customHeight="1">
      <c r="C25" s="32"/>
      <c r="D25" s="32"/>
      <c r="E25" s="32"/>
      <c r="F25" s="32"/>
      <c r="G25" s="32"/>
      <c r="H25" s="32"/>
      <c r="I25" s="32"/>
    </row>
    <row r="26" spans="3:9" ht="14.25" customHeight="1">
      <c r="C26" s="32"/>
      <c r="D26" s="32"/>
      <c r="E26" s="32"/>
      <c r="F26" s="32"/>
      <c r="G26" s="32"/>
      <c r="H26" s="32"/>
      <c r="I26" s="32"/>
    </row>
  </sheetData>
  <mergeCells count="12">
    <mergeCell ref="D19:J19"/>
    <mergeCell ref="D20:J20"/>
    <mergeCell ref="D21:J21"/>
    <mergeCell ref="C17:J17"/>
    <mergeCell ref="D15:F15"/>
    <mergeCell ref="G15:I15"/>
    <mergeCell ref="B1:J1"/>
    <mergeCell ref="C11:J11"/>
    <mergeCell ref="C4:J9"/>
    <mergeCell ref="C12:H12"/>
    <mergeCell ref="C2:J2"/>
    <mergeCell ref="C14:J14"/>
  </mergeCells>
  <printOptions/>
  <pageMargins left="0.75" right="0.75" top="1" bottom="1" header="0.5" footer="0.5"/>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Hoja3">
    <pageSetUpPr fitToPage="1"/>
  </sheetPr>
  <dimension ref="B1:L27"/>
  <sheetViews>
    <sheetView zoomScale="75" zoomScaleNormal="75" workbookViewId="0" topLeftCell="A1">
      <pane ySplit="2" topLeftCell="BM6" activePane="bottomLeft" state="frozen"/>
      <selection pane="topLeft" activeCell="A1" sqref="A1"/>
      <selection pane="bottomLeft" activeCell="A1" sqref="A1"/>
    </sheetView>
  </sheetViews>
  <sheetFormatPr defaultColWidth="11.421875" defaultRowHeight="12.75"/>
  <cols>
    <col min="1" max="1" width="4.421875" style="0" customWidth="1"/>
    <col min="2" max="2" width="5.00390625" style="0" customWidth="1"/>
    <col min="3" max="3" width="10.8515625" style="0" customWidth="1"/>
    <col min="4" max="4" width="55.421875" style="16" customWidth="1"/>
    <col min="5" max="5" width="11.421875" style="16" customWidth="1"/>
    <col min="6" max="6" width="25.8515625" style="0" customWidth="1"/>
    <col min="8" max="8" width="85.7109375" style="0" customWidth="1"/>
    <col min="9" max="9" width="22.28125" style="0" customWidth="1"/>
  </cols>
  <sheetData>
    <row r="1" spans="3:8" s="21" customFormat="1" ht="23.25" customHeight="1" thickBot="1">
      <c r="C1" s="262"/>
      <c r="D1" s="922"/>
      <c r="E1" s="925"/>
      <c r="F1" s="261"/>
      <c r="G1" s="261"/>
      <c r="H1" s="261"/>
    </row>
    <row r="2" spans="2:12" s="27" customFormat="1" ht="32.25" customHeight="1" thickTop="1">
      <c r="B2" s="264"/>
      <c r="C2" s="265" t="s">
        <v>48</v>
      </c>
      <c r="D2" s="931"/>
      <c r="E2" s="265" t="s">
        <v>50</v>
      </c>
      <c r="F2" s="603"/>
      <c r="G2" s="931"/>
      <c r="H2" s="266"/>
      <c r="I2" s="266"/>
      <c r="J2" s="266"/>
      <c r="K2" s="266"/>
      <c r="L2" s="932"/>
    </row>
    <row r="3" spans="2:12" s="27" customFormat="1" ht="18" customHeight="1">
      <c r="B3" s="267"/>
      <c r="C3" s="268"/>
      <c r="D3" s="923"/>
      <c r="E3" s="923"/>
      <c r="F3" s="269"/>
      <c r="G3" s="269"/>
      <c r="H3" s="909"/>
      <c r="I3" s="909"/>
      <c r="J3" s="909"/>
      <c r="K3" s="909"/>
      <c r="L3" s="913"/>
    </row>
    <row r="4" spans="2:12" s="27" customFormat="1" ht="15.75" customHeight="1">
      <c r="B4" s="267"/>
      <c r="C4" s="268"/>
      <c r="D4" s="923"/>
      <c r="E4" s="923"/>
      <c r="F4" s="930"/>
      <c r="G4" s="269"/>
      <c r="H4" s="909"/>
      <c r="I4" s="909"/>
      <c r="J4" s="909"/>
      <c r="K4" s="909"/>
      <c r="L4" s="913"/>
    </row>
    <row r="5" spans="2:12" s="914" customFormat="1" ht="21.75" customHeight="1">
      <c r="B5" s="560"/>
      <c r="C5" s="911" t="s">
        <v>51</v>
      </c>
      <c r="D5" s="907"/>
      <c r="E5" s="912"/>
      <c r="F5" s="912"/>
      <c r="G5" s="912"/>
      <c r="H5" s="909"/>
      <c r="I5" s="909"/>
      <c r="J5" s="909"/>
      <c r="K5" s="909"/>
      <c r="L5" s="913"/>
    </row>
    <row r="6" spans="2:12" s="910" customFormat="1" ht="33.75" customHeight="1">
      <c r="B6" s="908"/>
      <c r="C6" s="912" t="s">
        <v>49</v>
      </c>
      <c r="D6" s="907"/>
      <c r="E6" s="912"/>
      <c r="F6" s="909"/>
      <c r="G6" s="909"/>
      <c r="H6" s="909"/>
      <c r="I6" s="909"/>
      <c r="J6" s="909"/>
      <c r="K6" s="909"/>
      <c r="L6" s="913"/>
    </row>
    <row r="7" spans="2:12" s="914" customFormat="1" ht="24.75" customHeight="1">
      <c r="B7" s="560"/>
      <c r="C7" s="912"/>
      <c r="D7" s="911" t="s">
        <v>52</v>
      </c>
      <c r="E7" s="907" t="s">
        <v>63</v>
      </c>
      <c r="F7" s="912"/>
      <c r="G7" s="912"/>
      <c r="H7" s="912"/>
      <c r="I7" s="909"/>
      <c r="J7" s="909"/>
      <c r="K7" s="909"/>
      <c r="L7" s="913"/>
    </row>
    <row r="8" spans="2:12" s="916" customFormat="1" ht="24.75" customHeight="1">
      <c r="B8" s="915"/>
      <c r="C8" s="912"/>
      <c r="D8" s="911" t="s">
        <v>826</v>
      </c>
      <c r="E8" s="926" t="s">
        <v>829</v>
      </c>
      <c r="F8" s="260"/>
      <c r="G8" s="260"/>
      <c r="H8" s="260"/>
      <c r="I8" s="912"/>
      <c r="J8" s="909"/>
      <c r="K8" s="909"/>
      <c r="L8" s="913"/>
    </row>
    <row r="9" spans="2:12" s="916" customFormat="1" ht="24.75" customHeight="1">
      <c r="B9" s="915"/>
      <c r="C9" s="912"/>
      <c r="D9" s="911" t="s">
        <v>53</v>
      </c>
      <c r="E9" s="926" t="s">
        <v>830</v>
      </c>
      <c r="F9" s="917"/>
      <c r="G9" s="917"/>
      <c r="H9" s="917"/>
      <c r="I9" s="909"/>
      <c r="J9" s="909"/>
      <c r="K9" s="909"/>
      <c r="L9" s="913"/>
    </row>
    <row r="10" spans="2:12" s="916" customFormat="1" ht="24.75" customHeight="1">
      <c r="B10" s="915"/>
      <c r="C10" s="912"/>
      <c r="D10" s="911" t="s">
        <v>828</v>
      </c>
      <c r="E10" s="926" t="s">
        <v>837</v>
      </c>
      <c r="F10" s="917"/>
      <c r="G10" s="917"/>
      <c r="H10" s="917"/>
      <c r="I10" s="909"/>
      <c r="J10" s="909"/>
      <c r="K10" s="909"/>
      <c r="L10" s="913"/>
    </row>
    <row r="11" spans="2:12" s="916" customFormat="1" ht="24.75" customHeight="1">
      <c r="B11" s="918"/>
      <c r="C11" s="912"/>
      <c r="D11" s="911" t="s">
        <v>54</v>
      </c>
      <c r="E11" s="926" t="s">
        <v>831</v>
      </c>
      <c r="F11" s="917"/>
      <c r="G11" s="917"/>
      <c r="H11" s="917"/>
      <c r="I11" s="909"/>
      <c r="J11" s="909"/>
      <c r="K11" s="909"/>
      <c r="L11" s="913"/>
    </row>
    <row r="12" spans="2:12" s="916" customFormat="1" ht="24.75" customHeight="1">
      <c r="B12" s="918"/>
      <c r="C12" s="912"/>
      <c r="D12" s="911" t="s">
        <v>827</v>
      </c>
      <c r="E12" s="926" t="s">
        <v>832</v>
      </c>
      <c r="F12" s="917"/>
      <c r="G12" s="917"/>
      <c r="H12" s="917"/>
      <c r="I12" s="909"/>
      <c r="J12" s="909"/>
      <c r="K12" s="909"/>
      <c r="L12" s="913"/>
    </row>
    <row r="13" spans="2:12" s="916" customFormat="1" ht="24.75" customHeight="1">
      <c r="B13" s="918"/>
      <c r="C13" s="912"/>
      <c r="D13" s="911" t="s">
        <v>55</v>
      </c>
      <c r="E13" s="926" t="s">
        <v>833</v>
      </c>
      <c r="F13" s="917"/>
      <c r="G13" s="917"/>
      <c r="H13" s="917"/>
      <c r="I13" s="909"/>
      <c r="J13" s="909"/>
      <c r="K13" s="909"/>
      <c r="L13" s="913"/>
    </row>
    <row r="14" spans="2:12" s="916" customFormat="1" ht="24.75" customHeight="1">
      <c r="B14" s="918"/>
      <c r="C14" s="912"/>
      <c r="D14" s="911" t="s">
        <v>116</v>
      </c>
      <c r="E14" s="926" t="s">
        <v>70</v>
      </c>
      <c r="F14" s="260"/>
      <c r="G14" s="260"/>
      <c r="H14" s="260"/>
      <c r="I14" s="909"/>
      <c r="J14" s="909"/>
      <c r="K14" s="909"/>
      <c r="L14" s="913"/>
    </row>
    <row r="15" spans="2:12" s="916" customFormat="1" ht="24.75" customHeight="1">
      <c r="B15" s="918"/>
      <c r="C15" s="912"/>
      <c r="D15" s="911" t="s">
        <v>56</v>
      </c>
      <c r="E15" s="926" t="s">
        <v>64</v>
      </c>
      <c r="F15" s="260"/>
      <c r="G15" s="260"/>
      <c r="H15" s="260"/>
      <c r="I15" s="909"/>
      <c r="J15" s="909"/>
      <c r="K15" s="909"/>
      <c r="L15" s="913"/>
    </row>
    <row r="16" spans="2:12" s="916" customFormat="1" ht="24.75" customHeight="1">
      <c r="B16" s="918"/>
      <c r="C16" s="912"/>
      <c r="D16" s="911" t="s">
        <v>57</v>
      </c>
      <c r="E16" s="926" t="s">
        <v>65</v>
      </c>
      <c r="F16" s="260"/>
      <c r="G16" s="260"/>
      <c r="H16" s="260"/>
      <c r="I16" s="909"/>
      <c r="J16" s="909"/>
      <c r="K16" s="909"/>
      <c r="L16" s="913"/>
    </row>
    <row r="17" spans="2:12" s="916" customFormat="1" ht="24.75" customHeight="1">
      <c r="B17" s="918"/>
      <c r="C17" s="912"/>
      <c r="D17" s="911" t="s">
        <v>836</v>
      </c>
      <c r="E17" s="926" t="s">
        <v>835</v>
      </c>
      <c r="F17" s="917"/>
      <c r="G17" s="917"/>
      <c r="H17" s="917"/>
      <c r="I17" s="909"/>
      <c r="J17" s="909"/>
      <c r="K17" s="909"/>
      <c r="L17" s="913"/>
    </row>
    <row r="18" spans="2:12" s="916" customFormat="1" ht="24.75" customHeight="1">
      <c r="B18" s="918"/>
      <c r="C18" s="912"/>
      <c r="D18" s="911" t="s">
        <v>58</v>
      </c>
      <c r="E18" s="926" t="s">
        <v>69</v>
      </c>
      <c r="F18" s="917"/>
      <c r="G18" s="917"/>
      <c r="H18" s="917"/>
      <c r="I18" s="909"/>
      <c r="J18" s="909"/>
      <c r="K18" s="909"/>
      <c r="L18" s="913"/>
    </row>
    <row r="19" spans="2:12" s="21" customFormat="1" ht="24.75" customHeight="1">
      <c r="B19" s="919"/>
      <c r="C19" s="912"/>
      <c r="D19" s="911" t="s">
        <v>59</v>
      </c>
      <c r="E19" s="926" t="s">
        <v>68</v>
      </c>
      <c r="F19" s="260"/>
      <c r="G19" s="260"/>
      <c r="H19" s="260"/>
      <c r="I19" s="909"/>
      <c r="J19" s="909"/>
      <c r="K19" s="909"/>
      <c r="L19" s="913"/>
    </row>
    <row r="20" spans="2:12" s="21" customFormat="1" ht="24.75" customHeight="1">
      <c r="B20" s="919"/>
      <c r="C20" s="912"/>
      <c r="D20" s="911" t="s">
        <v>60</v>
      </c>
      <c r="E20" s="926" t="s">
        <v>67</v>
      </c>
      <c r="F20" s="909"/>
      <c r="G20" s="909"/>
      <c r="H20" s="909"/>
      <c r="I20" s="909"/>
      <c r="J20" s="909"/>
      <c r="K20" s="909"/>
      <c r="L20" s="913"/>
    </row>
    <row r="21" spans="2:12" s="21" customFormat="1" ht="24.75" customHeight="1">
      <c r="B21" s="919"/>
      <c r="C21" s="912"/>
      <c r="D21" s="911" t="s">
        <v>61</v>
      </c>
      <c r="E21" s="926" t="s">
        <v>66</v>
      </c>
      <c r="F21" s="917"/>
      <c r="G21" s="917"/>
      <c r="H21" s="917"/>
      <c r="I21" s="909"/>
      <c r="J21" s="909"/>
      <c r="K21" s="909"/>
      <c r="L21" s="913"/>
    </row>
    <row r="22" spans="2:12" s="21" customFormat="1" ht="24.75" customHeight="1">
      <c r="B22" s="918"/>
      <c r="C22" s="912"/>
      <c r="D22" s="911" t="s">
        <v>62</v>
      </c>
      <c r="E22" s="926" t="s">
        <v>834</v>
      </c>
      <c r="F22" s="917"/>
      <c r="G22" s="917"/>
      <c r="H22" s="917"/>
      <c r="I22" s="909"/>
      <c r="J22" s="909"/>
      <c r="K22" s="909"/>
      <c r="L22" s="913"/>
    </row>
    <row r="23" spans="2:12" s="21" customFormat="1" ht="24.75" customHeight="1" thickBot="1">
      <c r="B23" s="920"/>
      <c r="C23" s="186"/>
      <c r="D23" s="924"/>
      <c r="E23" s="927"/>
      <c r="F23" s="921"/>
      <c r="G23" s="921"/>
      <c r="H23" s="921"/>
      <c r="I23" s="921"/>
      <c r="J23" s="921"/>
      <c r="K23" s="921"/>
      <c r="L23" s="933"/>
    </row>
    <row r="24" spans="3:9" s="29" customFormat="1" ht="18" customHeight="1" thickTop="1">
      <c r="C24" s="172"/>
      <c r="D24" s="1079"/>
      <c r="E24" s="1079"/>
      <c r="F24" s="1079"/>
      <c r="G24" s="1079"/>
      <c r="H24" s="1079"/>
      <c r="I24" s="1079"/>
    </row>
    <row r="25" spans="3:9" s="29" customFormat="1" ht="18" customHeight="1">
      <c r="C25" s="172"/>
      <c r="D25" s="1079"/>
      <c r="E25" s="1079"/>
      <c r="F25" s="1079"/>
      <c r="G25" s="1079"/>
      <c r="H25" s="1079"/>
      <c r="I25" s="1079"/>
    </row>
    <row r="26" spans="3:9" s="29" customFormat="1" ht="18" customHeight="1">
      <c r="C26" s="172"/>
      <c r="D26" s="1079"/>
      <c r="E26" s="1079"/>
      <c r="F26" s="1079"/>
      <c r="G26" s="1079"/>
      <c r="H26" s="1079"/>
      <c r="I26" s="1079"/>
    </row>
    <row r="27" spans="3:9" s="29" customFormat="1" ht="18" customHeight="1">
      <c r="C27" s="172"/>
      <c r="D27" s="1079"/>
      <c r="E27" s="1079"/>
      <c r="F27" s="1079"/>
      <c r="G27" s="1079"/>
      <c r="H27" s="1079"/>
      <c r="I27" s="1079"/>
    </row>
    <row r="28" ht="18" customHeight="1"/>
    <row r="29" ht="15" customHeight="1"/>
  </sheetData>
  <mergeCells count="4">
    <mergeCell ref="D27:I27"/>
    <mergeCell ref="D24:I24"/>
    <mergeCell ref="D25:I25"/>
    <mergeCell ref="D26:I26"/>
  </mergeCells>
  <hyperlinks>
    <hyperlink ref="C5" location="Introducción!Área_de_impresión" display="Introducción"/>
    <hyperlink ref="D7" location="'Operations in Inventory'!A1" display="Operations in Inventory"/>
    <hyperlink ref="D8" location="'Direct - Fuel Combust.'!A1" display="Direct - Fuel Combustion"/>
    <hyperlink ref="D9" location="'Direct-CH4 &amp; N2O'!A1" display="Directs - CH4 y N2O "/>
    <hyperlink ref="D11" location="'Direct- Mobile &amp; Transportation'!A1" display="Direct - Mobile &amp; Transportation"/>
    <hyperlink ref="D12" location="'Direct - Waste Mngmt.'!A1" display="Direct - Waste Management"/>
    <hyperlink ref="D13" location="'Direct - Make-up Carbonates'!A1" display="Direct - Make-up Carbonates"/>
    <hyperlink ref="D15" location="'CHP Allocation'!A1" display="CHP Allocation"/>
    <hyperlink ref="D16" location="'Indirect - Energy Imports'!A1" display="Indirect - Energy Imports"/>
    <hyperlink ref="D17" location="'CO2 Imports and Exports'!A1" display="CO2 Imports and Exports"/>
    <hyperlink ref="D18" location="'Summary Table'!A1" display="Summary Table"/>
    <hyperlink ref="D19" location="'Custom Emission Factors'!A1" display="Custom Emission Factors"/>
    <hyperlink ref="D21" location="'Conversion Factors'!A1" display="Conversion Factors"/>
    <hyperlink ref="D22" location="'Supporting Info. on Biomass'!A1" display="Supporting Info. on Biomass"/>
    <hyperlink ref="D10" location="'Direct-SO2'!A1" display="Direct - SO2 "/>
    <hyperlink ref="D20" location="'Energy Content'!A1" display="Energy Content (LHV and HHV)"/>
    <hyperlink ref="D14" location="'Direct - Energy Exports'!A1" display="Energy Exports"/>
  </hyperlinks>
  <printOptions/>
  <pageMargins left="0.75" right="0.75" top="1" bottom="1" header="0.4921259845" footer="0.4921259845"/>
  <pageSetup fitToHeight="1" fitToWidth="1" horizontalDpi="1200" verticalDpi="1200" orientation="portrait" paperSize="9" scale="44" r:id="rId1"/>
</worksheet>
</file>

<file path=xl/worksheets/sheet4.xml><?xml version="1.0" encoding="utf-8"?>
<worksheet xmlns="http://schemas.openxmlformats.org/spreadsheetml/2006/main" xmlns:r="http://schemas.openxmlformats.org/officeDocument/2006/relationships">
  <sheetPr codeName="Hoja4">
    <pageSetUpPr fitToPage="1"/>
  </sheetPr>
  <dimension ref="B2:P56"/>
  <sheetViews>
    <sheetView zoomScale="80" zoomScaleNormal="80" workbookViewId="0" topLeftCell="A1">
      <selection activeCell="F8" sqref="F8:I8"/>
    </sheetView>
  </sheetViews>
  <sheetFormatPr defaultColWidth="11.421875" defaultRowHeight="12.75"/>
  <cols>
    <col min="1" max="1" width="4.00390625" style="0" customWidth="1"/>
    <col min="2" max="2" width="9.00390625" style="0" customWidth="1"/>
    <col min="3" max="5" width="9.140625" style="0" hidden="1" customWidth="1"/>
    <col min="6" max="6" width="67.28125" style="0" customWidth="1"/>
    <col min="7" max="7" width="20.28125" style="174" customWidth="1"/>
    <col min="8" max="8" width="13.7109375" style="174" customWidth="1"/>
    <col min="9" max="9" width="10.28125" style="174" customWidth="1"/>
    <col min="10" max="10" width="13.00390625" style="0" customWidth="1"/>
    <col min="11" max="16384" width="9.140625" style="0" customWidth="1"/>
  </cols>
  <sheetData>
    <row r="2" spans="2:16" ht="28.5" customHeight="1">
      <c r="B2" s="1109" t="s">
        <v>71</v>
      </c>
      <c r="C2" s="1109"/>
      <c r="D2" s="1109"/>
      <c r="E2" s="1109"/>
      <c r="F2" s="1109"/>
      <c r="G2" s="1109"/>
      <c r="H2" s="1109"/>
      <c r="I2" s="1109"/>
      <c r="J2" s="1109"/>
      <c r="K2" s="1109"/>
      <c r="L2" s="1109"/>
      <c r="M2" s="1109"/>
      <c r="N2" s="1109"/>
      <c r="O2" s="1109"/>
      <c r="P2" s="1109"/>
    </row>
    <row r="3" spans="2:10" ht="17.25" customHeight="1">
      <c r="B3" s="196"/>
      <c r="C3" s="197"/>
      <c r="D3" s="197"/>
      <c r="E3" s="197"/>
      <c r="H3" s="197"/>
      <c r="I3" s="197"/>
      <c r="J3" s="197"/>
    </row>
    <row r="4" spans="2:9" ht="27" customHeight="1" thickBot="1">
      <c r="B4" s="32"/>
      <c r="C4" s="32"/>
      <c r="D4" s="32"/>
      <c r="E4" s="32"/>
      <c r="F4" s="197" t="s">
        <v>72</v>
      </c>
      <c r="G4" s="198"/>
      <c r="H4" s="187"/>
      <c r="I4" s="187"/>
    </row>
    <row r="5" spans="2:10" ht="27" customHeight="1" thickTop="1">
      <c r="B5" s="1106" t="s">
        <v>73</v>
      </c>
      <c r="C5" s="1107"/>
      <c r="D5" s="1107"/>
      <c r="E5" s="1107"/>
      <c r="F5" s="1107"/>
      <c r="G5" s="188"/>
      <c r="H5" s="188"/>
      <c r="I5" s="188"/>
      <c r="J5" s="189"/>
    </row>
    <row r="6" spans="2:10" ht="17.25" customHeight="1">
      <c r="B6" s="222"/>
      <c r="C6" s="223"/>
      <c r="D6" s="223"/>
      <c r="E6" s="223"/>
      <c r="F6" s="224"/>
      <c r="G6" s="123"/>
      <c r="H6" s="123"/>
      <c r="I6" s="123"/>
      <c r="J6" s="190"/>
    </row>
    <row r="7" spans="2:10" ht="14.25" customHeight="1">
      <c r="B7" s="65"/>
      <c r="C7" s="123"/>
      <c r="D7" s="123"/>
      <c r="E7" s="123"/>
      <c r="F7" s="906" t="s">
        <v>74</v>
      </c>
      <c r="G7" s="123"/>
      <c r="H7" s="123"/>
      <c r="I7" s="123"/>
      <c r="J7" s="190"/>
    </row>
    <row r="8" spans="2:10" ht="18" customHeight="1">
      <c r="B8" s="65"/>
      <c r="C8" s="123"/>
      <c r="D8" s="123"/>
      <c r="E8" s="123"/>
      <c r="F8" s="1080"/>
      <c r="G8" s="1081"/>
      <c r="H8" s="1081"/>
      <c r="I8" s="1071"/>
      <c r="J8" s="190"/>
    </row>
    <row r="9" spans="2:10" ht="39" customHeight="1">
      <c r="B9" s="65"/>
      <c r="C9" s="123"/>
      <c r="D9" s="123"/>
      <c r="E9" s="123"/>
      <c r="F9" s="1108" t="s">
        <v>838</v>
      </c>
      <c r="G9" s="1108"/>
      <c r="H9" s="1108"/>
      <c r="I9" s="1108"/>
      <c r="J9" s="190"/>
    </row>
    <row r="10" spans="2:10" ht="78" customHeight="1">
      <c r="B10" s="65"/>
      <c r="C10" s="123"/>
      <c r="D10" s="123"/>
      <c r="E10" s="123"/>
      <c r="F10" s="1080"/>
      <c r="G10" s="1081"/>
      <c r="H10" s="1081"/>
      <c r="I10" s="1071"/>
      <c r="J10" s="190"/>
    </row>
    <row r="11" spans="2:10" ht="8.25" customHeight="1">
      <c r="B11" s="65"/>
      <c r="C11" s="123"/>
      <c r="D11" s="123"/>
      <c r="E11" s="123"/>
      <c r="F11" s="216"/>
      <c r="G11" s="217"/>
      <c r="H11" s="217"/>
      <c r="I11" s="217"/>
      <c r="J11" s="190"/>
    </row>
    <row r="12" spans="2:10" ht="35.25" customHeight="1">
      <c r="B12" s="65"/>
      <c r="C12" s="123"/>
      <c r="D12" s="123"/>
      <c r="E12" s="123"/>
      <c r="F12" s="1105" t="s">
        <v>839</v>
      </c>
      <c r="G12" s="1105"/>
      <c r="H12" s="1105"/>
      <c r="I12" s="1105"/>
      <c r="J12" s="190"/>
    </row>
    <row r="13" spans="2:10" ht="84" customHeight="1">
      <c r="B13" s="65"/>
      <c r="C13" s="123"/>
      <c r="D13" s="123"/>
      <c r="E13" s="123"/>
      <c r="F13" s="1075"/>
      <c r="G13" s="1070"/>
      <c r="H13" s="1070"/>
      <c r="I13" s="1104"/>
      <c r="J13" s="190"/>
    </row>
    <row r="14" spans="2:10" ht="15.75" customHeight="1">
      <c r="B14" s="65"/>
      <c r="C14" s="123"/>
      <c r="D14" s="123"/>
      <c r="E14" s="123"/>
      <c r="F14" s="216"/>
      <c r="G14" s="217"/>
      <c r="H14" s="217"/>
      <c r="I14" s="217"/>
      <c r="J14" s="190"/>
    </row>
    <row r="15" spans="2:10" ht="39" customHeight="1">
      <c r="B15" s="65"/>
      <c r="C15" s="123"/>
      <c r="D15" s="123"/>
      <c r="E15" s="123"/>
      <c r="F15" s="1105" t="s">
        <v>75</v>
      </c>
      <c r="G15" s="1105"/>
      <c r="H15" s="1105"/>
      <c r="I15" s="1105"/>
      <c r="J15" s="190"/>
    </row>
    <row r="16" spans="2:10" ht="84" customHeight="1">
      <c r="B16" s="65"/>
      <c r="C16" s="123"/>
      <c r="D16" s="123"/>
      <c r="E16" s="123"/>
      <c r="F16" s="1080"/>
      <c r="G16" s="1081"/>
      <c r="H16" s="1081"/>
      <c r="I16" s="1071"/>
      <c r="J16" s="190"/>
    </row>
    <row r="17" spans="2:10" ht="18" customHeight="1" thickBot="1">
      <c r="B17" s="65"/>
      <c r="C17" s="123"/>
      <c r="D17" s="123"/>
      <c r="E17" s="123"/>
      <c r="F17" s="123"/>
      <c r="G17" s="123"/>
      <c r="H17" s="123"/>
      <c r="I17" s="123"/>
      <c r="J17" s="190"/>
    </row>
    <row r="18" spans="2:10" ht="56.25" customHeight="1" thickBot="1" thickTop="1">
      <c r="B18" s="65"/>
      <c r="C18" s="123"/>
      <c r="D18" s="123"/>
      <c r="E18" s="123"/>
      <c r="F18" s="123"/>
      <c r="G18" s="1072" t="s">
        <v>76</v>
      </c>
      <c r="H18" s="1073"/>
      <c r="I18" s="1074"/>
      <c r="J18" s="190"/>
    </row>
    <row r="19" spans="2:10" ht="63.75" customHeight="1" thickBot="1" thickTop="1">
      <c r="B19" s="65"/>
      <c r="C19" s="123"/>
      <c r="D19" s="123"/>
      <c r="E19" s="123"/>
      <c r="F19" s="991" t="s">
        <v>77</v>
      </c>
      <c r="G19" s="988" t="s">
        <v>78</v>
      </c>
      <c r="H19" s="989" t="s">
        <v>79</v>
      </c>
      <c r="I19" s="990" t="s">
        <v>80</v>
      </c>
      <c r="J19" s="190"/>
    </row>
    <row r="20" spans="2:11" ht="13.5" thickTop="1">
      <c r="B20" s="867">
        <v>32</v>
      </c>
      <c r="C20" s="123"/>
      <c r="D20" s="123"/>
      <c r="E20" s="123"/>
      <c r="F20" s="194" t="s">
        <v>81</v>
      </c>
      <c r="G20" s="157"/>
      <c r="H20" s="157"/>
      <c r="I20" s="157"/>
      <c r="J20" s="190"/>
      <c r="K20" s="876">
        <f aca="true" t="shared" si="0" ref="K20:K54">IF(G20="",0,1)+IF(H20="",0,1)+IF(I20="",0,1)</f>
        <v>0</v>
      </c>
    </row>
    <row r="21" spans="2:11" ht="12.75">
      <c r="B21" s="867">
        <v>32</v>
      </c>
      <c r="C21" s="123"/>
      <c r="D21" s="123"/>
      <c r="E21" s="123"/>
      <c r="F21" s="195" t="s">
        <v>82</v>
      </c>
      <c r="G21" s="157"/>
      <c r="H21" s="157"/>
      <c r="I21" s="157"/>
      <c r="J21" s="190"/>
      <c r="K21" s="876">
        <f t="shared" si="0"/>
        <v>0</v>
      </c>
    </row>
    <row r="22" spans="2:11" ht="12.75">
      <c r="B22" s="867">
        <v>32</v>
      </c>
      <c r="C22" s="123"/>
      <c r="D22" s="123"/>
      <c r="E22" s="123"/>
      <c r="F22" s="195" t="s">
        <v>83</v>
      </c>
      <c r="G22" s="157"/>
      <c r="H22" s="157"/>
      <c r="I22" s="157"/>
      <c r="J22" s="190"/>
      <c r="K22" s="876">
        <f t="shared" si="0"/>
        <v>0</v>
      </c>
    </row>
    <row r="23" spans="2:11" ht="12.75">
      <c r="B23" s="867">
        <v>32</v>
      </c>
      <c r="C23" s="123"/>
      <c r="D23" s="123"/>
      <c r="E23" s="123"/>
      <c r="F23" s="195" t="s">
        <v>84</v>
      </c>
      <c r="G23" s="157"/>
      <c r="H23" s="157"/>
      <c r="I23" s="157"/>
      <c r="J23" s="190"/>
      <c r="K23" s="876">
        <f t="shared" si="0"/>
        <v>0</v>
      </c>
    </row>
    <row r="24" spans="2:11" ht="12.75">
      <c r="B24" s="867">
        <v>32</v>
      </c>
      <c r="C24" s="123"/>
      <c r="D24" s="123"/>
      <c r="E24" s="123"/>
      <c r="F24" s="195" t="s">
        <v>85</v>
      </c>
      <c r="G24" s="157"/>
      <c r="H24" s="157"/>
      <c r="I24" s="157"/>
      <c r="J24" s="190"/>
      <c r="K24" s="876">
        <f t="shared" si="0"/>
        <v>0</v>
      </c>
    </row>
    <row r="25" spans="2:11" ht="12.75">
      <c r="B25" s="867">
        <v>32</v>
      </c>
      <c r="C25" s="123"/>
      <c r="D25" s="123"/>
      <c r="E25" s="123"/>
      <c r="F25" s="195" t="s">
        <v>86</v>
      </c>
      <c r="G25" s="157"/>
      <c r="H25" s="157"/>
      <c r="I25" s="157"/>
      <c r="J25" s="190"/>
      <c r="K25" s="876">
        <f t="shared" si="0"/>
        <v>0</v>
      </c>
    </row>
    <row r="26" spans="2:11" ht="12.75">
      <c r="B26" s="867">
        <v>32</v>
      </c>
      <c r="C26" s="123"/>
      <c r="D26" s="123"/>
      <c r="E26" s="123"/>
      <c r="F26" s="195" t="s">
        <v>87</v>
      </c>
      <c r="G26" s="157"/>
      <c r="H26" s="157"/>
      <c r="I26" s="157"/>
      <c r="J26" s="190"/>
      <c r="K26" s="876">
        <f t="shared" si="0"/>
        <v>0</v>
      </c>
    </row>
    <row r="27" spans="2:11" ht="12.75">
      <c r="B27" s="867">
        <v>32</v>
      </c>
      <c r="C27" s="123"/>
      <c r="D27" s="123"/>
      <c r="E27" s="123"/>
      <c r="F27" s="195" t="s">
        <v>88</v>
      </c>
      <c r="G27" s="157"/>
      <c r="H27" s="157"/>
      <c r="I27" s="157"/>
      <c r="J27" s="190"/>
      <c r="K27" s="876">
        <f t="shared" si="0"/>
        <v>0</v>
      </c>
    </row>
    <row r="28" spans="2:11" ht="12.75">
      <c r="B28" s="867">
        <v>32</v>
      </c>
      <c r="C28" s="123"/>
      <c r="D28" s="123"/>
      <c r="E28" s="123"/>
      <c r="F28" s="195" t="s">
        <v>89</v>
      </c>
      <c r="G28" s="157"/>
      <c r="H28" s="157"/>
      <c r="I28" s="157"/>
      <c r="J28" s="190"/>
      <c r="K28" s="876">
        <f t="shared" si="0"/>
        <v>0</v>
      </c>
    </row>
    <row r="29" spans="2:11" ht="12.75">
      <c r="B29" s="867">
        <v>32</v>
      </c>
      <c r="C29" s="123"/>
      <c r="D29" s="123"/>
      <c r="E29" s="123"/>
      <c r="F29" s="195" t="s">
        <v>90</v>
      </c>
      <c r="G29" s="157"/>
      <c r="H29" s="157"/>
      <c r="I29" s="157"/>
      <c r="J29" s="190"/>
      <c r="K29" s="876">
        <f t="shared" si="0"/>
        <v>0</v>
      </c>
    </row>
    <row r="30" spans="2:11" ht="12.75">
      <c r="B30" s="867">
        <v>32</v>
      </c>
      <c r="C30" s="123"/>
      <c r="D30" s="123"/>
      <c r="E30" s="123"/>
      <c r="F30" s="195" t="s">
        <v>91</v>
      </c>
      <c r="G30" s="157"/>
      <c r="H30" s="157"/>
      <c r="I30" s="157"/>
      <c r="J30" s="190"/>
      <c r="K30" s="876">
        <f t="shared" si="0"/>
        <v>0</v>
      </c>
    </row>
    <row r="31" spans="2:11" ht="12.75">
      <c r="B31" s="867">
        <v>32</v>
      </c>
      <c r="C31" s="123"/>
      <c r="D31" s="123"/>
      <c r="E31" s="123"/>
      <c r="F31" s="195" t="s">
        <v>92</v>
      </c>
      <c r="G31" s="157"/>
      <c r="H31" s="157"/>
      <c r="I31" s="157"/>
      <c r="J31" s="190"/>
      <c r="K31" s="876">
        <f t="shared" si="0"/>
        <v>0</v>
      </c>
    </row>
    <row r="32" spans="2:11" ht="12.75">
      <c r="B32" s="867"/>
      <c r="C32" s="123"/>
      <c r="D32" s="123"/>
      <c r="E32" s="123"/>
      <c r="F32" s="195" t="s">
        <v>93</v>
      </c>
      <c r="G32" s="157"/>
      <c r="H32" s="157"/>
      <c r="I32" s="157"/>
      <c r="J32" s="190"/>
      <c r="K32" s="876">
        <f t="shared" si="0"/>
        <v>0</v>
      </c>
    </row>
    <row r="33" spans="2:11" ht="12.75">
      <c r="B33" s="867"/>
      <c r="C33" s="123"/>
      <c r="D33" s="123"/>
      <c r="E33" s="123"/>
      <c r="F33" s="195" t="s">
        <v>94</v>
      </c>
      <c r="G33" s="157"/>
      <c r="H33" s="157"/>
      <c r="I33" s="157"/>
      <c r="J33" s="190"/>
      <c r="K33" s="876">
        <f t="shared" si="0"/>
        <v>0</v>
      </c>
    </row>
    <row r="34" spans="2:11" ht="12.75">
      <c r="B34" s="867"/>
      <c r="C34" s="123"/>
      <c r="D34" s="123"/>
      <c r="E34" s="123"/>
      <c r="F34" s="195" t="s">
        <v>95</v>
      </c>
      <c r="G34" s="157"/>
      <c r="H34" s="157"/>
      <c r="I34" s="157"/>
      <c r="J34" s="190"/>
      <c r="K34" s="876">
        <f t="shared" si="0"/>
        <v>0</v>
      </c>
    </row>
    <row r="35" spans="2:11" ht="12.75">
      <c r="B35" s="867"/>
      <c r="C35" s="123"/>
      <c r="D35" s="123"/>
      <c r="E35" s="123"/>
      <c r="F35" s="800" t="s">
        <v>649</v>
      </c>
      <c r="G35" s="157"/>
      <c r="H35" s="157"/>
      <c r="I35" s="157"/>
      <c r="J35" s="190"/>
      <c r="K35" s="876">
        <f t="shared" si="0"/>
        <v>0</v>
      </c>
    </row>
    <row r="36" spans="2:11" ht="12.75">
      <c r="B36" s="867"/>
      <c r="C36" s="123"/>
      <c r="D36" s="123"/>
      <c r="E36" s="123"/>
      <c r="F36" s="195" t="s">
        <v>97</v>
      </c>
      <c r="G36" s="157"/>
      <c r="H36" s="157"/>
      <c r="I36" s="157"/>
      <c r="J36" s="190"/>
      <c r="K36" s="876">
        <f t="shared" si="0"/>
        <v>0</v>
      </c>
    </row>
    <row r="37" spans="2:11" ht="12.75">
      <c r="B37" s="867"/>
      <c r="C37" s="123"/>
      <c r="D37" s="123"/>
      <c r="E37" s="123"/>
      <c r="F37" s="195" t="s">
        <v>96</v>
      </c>
      <c r="G37" s="157"/>
      <c r="H37" s="157"/>
      <c r="I37" s="157"/>
      <c r="J37" s="190"/>
      <c r="K37" s="876">
        <f t="shared" si="0"/>
        <v>0</v>
      </c>
    </row>
    <row r="38" spans="2:11" ht="12.75">
      <c r="B38" s="65"/>
      <c r="C38" s="123"/>
      <c r="D38" s="123"/>
      <c r="E38" s="123"/>
      <c r="F38" s="195" t="s">
        <v>107</v>
      </c>
      <c r="G38" s="157"/>
      <c r="H38" s="157"/>
      <c r="I38" s="157"/>
      <c r="J38" s="190"/>
      <c r="K38" s="876">
        <f t="shared" si="0"/>
        <v>0</v>
      </c>
    </row>
    <row r="39" spans="2:11" ht="12.75">
      <c r="B39" s="65"/>
      <c r="C39" s="123"/>
      <c r="D39" s="123"/>
      <c r="E39" s="123"/>
      <c r="F39" s="195" t="s">
        <v>106</v>
      </c>
      <c r="G39" s="157"/>
      <c r="H39" s="157"/>
      <c r="I39" s="157"/>
      <c r="J39" s="190"/>
      <c r="K39" s="876">
        <f t="shared" si="0"/>
        <v>0</v>
      </c>
    </row>
    <row r="40" spans="2:11" ht="12.75">
      <c r="B40" s="65"/>
      <c r="C40" s="123"/>
      <c r="D40" s="123"/>
      <c r="E40" s="123"/>
      <c r="F40" s="195" t="s">
        <v>105</v>
      </c>
      <c r="G40" s="157"/>
      <c r="H40" s="157"/>
      <c r="I40" s="157"/>
      <c r="J40" s="190"/>
      <c r="K40" s="876">
        <f t="shared" si="0"/>
        <v>0</v>
      </c>
    </row>
    <row r="41" spans="2:11" ht="12.75">
      <c r="B41" s="65"/>
      <c r="C41" s="123"/>
      <c r="D41" s="123"/>
      <c r="E41" s="123"/>
      <c r="F41" s="195" t="s">
        <v>104</v>
      </c>
      <c r="G41" s="157"/>
      <c r="H41" s="157"/>
      <c r="I41" s="157"/>
      <c r="J41" s="190"/>
      <c r="K41" s="876">
        <f t="shared" si="0"/>
        <v>0</v>
      </c>
    </row>
    <row r="42" spans="2:11" ht="12.75">
      <c r="B42" s="65"/>
      <c r="C42" s="123"/>
      <c r="D42" s="123"/>
      <c r="E42" s="123"/>
      <c r="F42" s="195" t="s">
        <v>103</v>
      </c>
      <c r="G42" s="157"/>
      <c r="H42" s="157"/>
      <c r="I42" s="157"/>
      <c r="J42" s="190"/>
      <c r="K42" s="876">
        <f t="shared" si="0"/>
        <v>0</v>
      </c>
    </row>
    <row r="43" spans="2:11" ht="12.75">
      <c r="B43" s="65"/>
      <c r="C43" s="123"/>
      <c r="D43" s="123"/>
      <c r="E43" s="123"/>
      <c r="F43" s="195" t="s">
        <v>102</v>
      </c>
      <c r="G43" s="157"/>
      <c r="H43" s="157"/>
      <c r="I43" s="157"/>
      <c r="J43" s="190"/>
      <c r="K43" s="876">
        <f t="shared" si="0"/>
        <v>0</v>
      </c>
    </row>
    <row r="44" spans="2:11" ht="12.75">
      <c r="B44" s="65"/>
      <c r="C44" s="123"/>
      <c r="D44" s="123"/>
      <c r="E44" s="123"/>
      <c r="F44" s="195" t="s">
        <v>101</v>
      </c>
      <c r="G44" s="157"/>
      <c r="H44" s="157"/>
      <c r="I44" s="157"/>
      <c r="J44" s="190"/>
      <c r="K44" s="876">
        <f t="shared" si="0"/>
        <v>0</v>
      </c>
    </row>
    <row r="45" spans="2:11" ht="12.75">
      <c r="B45" s="65"/>
      <c r="C45" s="123"/>
      <c r="D45" s="123"/>
      <c r="E45" s="123"/>
      <c r="F45" s="195" t="s">
        <v>100</v>
      </c>
      <c r="G45" s="157"/>
      <c r="H45" s="157"/>
      <c r="I45" s="157"/>
      <c r="J45" s="190"/>
      <c r="K45" s="876">
        <f t="shared" si="0"/>
        <v>0</v>
      </c>
    </row>
    <row r="46" spans="2:11" ht="13.5" customHeight="1">
      <c r="B46" s="65"/>
      <c r="C46" s="123"/>
      <c r="D46" s="123"/>
      <c r="E46" s="123"/>
      <c r="F46" s="195" t="s">
        <v>99</v>
      </c>
      <c r="G46" s="157"/>
      <c r="H46" s="157"/>
      <c r="I46" s="157"/>
      <c r="J46" s="190"/>
      <c r="K46" s="876">
        <f t="shared" si="0"/>
        <v>0</v>
      </c>
    </row>
    <row r="47" spans="2:11" ht="12.75">
      <c r="B47" s="65"/>
      <c r="C47" s="123"/>
      <c r="D47" s="123"/>
      <c r="E47" s="123"/>
      <c r="F47" s="195" t="s">
        <v>98</v>
      </c>
      <c r="G47" s="157"/>
      <c r="H47" s="157"/>
      <c r="I47" s="157"/>
      <c r="J47" s="190"/>
      <c r="K47" s="876">
        <f t="shared" si="0"/>
        <v>0</v>
      </c>
    </row>
    <row r="48" spans="2:11" ht="12.75">
      <c r="B48" s="65"/>
      <c r="C48" s="123"/>
      <c r="D48" s="123"/>
      <c r="E48" s="123"/>
      <c r="F48" s="195" t="s">
        <v>109</v>
      </c>
      <c r="G48" s="157"/>
      <c r="H48" s="157"/>
      <c r="I48" s="157"/>
      <c r="J48" s="190"/>
      <c r="K48" s="876">
        <f t="shared" si="0"/>
        <v>0</v>
      </c>
    </row>
    <row r="49" spans="2:11" ht="12.75">
      <c r="B49" s="65"/>
      <c r="C49" s="123"/>
      <c r="D49" s="123"/>
      <c r="E49" s="123"/>
      <c r="F49" s="195" t="s">
        <v>637</v>
      </c>
      <c r="G49" s="157"/>
      <c r="H49" s="157"/>
      <c r="I49" s="157"/>
      <c r="J49" s="190"/>
      <c r="K49" s="876">
        <f t="shared" si="0"/>
        <v>0</v>
      </c>
    </row>
    <row r="50" spans="2:11" ht="12.75">
      <c r="B50" s="65"/>
      <c r="C50" s="123"/>
      <c r="D50" s="123"/>
      <c r="E50" s="123"/>
      <c r="F50" s="195" t="s">
        <v>638</v>
      </c>
      <c r="G50" s="157"/>
      <c r="H50" s="157"/>
      <c r="I50" s="157"/>
      <c r="J50" s="190"/>
      <c r="K50" s="876">
        <f t="shared" si="0"/>
        <v>0</v>
      </c>
    </row>
    <row r="51" spans="2:11" ht="12.75">
      <c r="B51" s="65"/>
      <c r="C51" s="123"/>
      <c r="D51" s="123"/>
      <c r="E51" s="123"/>
      <c r="F51" s="199"/>
      <c r="G51" s="157"/>
      <c r="H51" s="157"/>
      <c r="I51" s="157"/>
      <c r="J51" s="190"/>
      <c r="K51" s="876">
        <f t="shared" si="0"/>
        <v>0</v>
      </c>
    </row>
    <row r="52" spans="2:11" ht="12.75">
      <c r="B52" s="65"/>
      <c r="C52" s="123"/>
      <c r="D52" s="123"/>
      <c r="E52" s="123"/>
      <c r="F52" s="199" t="s">
        <v>108</v>
      </c>
      <c r="G52" s="157"/>
      <c r="H52" s="157"/>
      <c r="I52" s="157"/>
      <c r="J52" s="190"/>
      <c r="K52" s="876">
        <f t="shared" si="0"/>
        <v>0</v>
      </c>
    </row>
    <row r="53" spans="2:11" ht="12.75">
      <c r="B53" s="65"/>
      <c r="C53" s="123"/>
      <c r="D53" s="123"/>
      <c r="E53" s="123"/>
      <c r="F53" s="199" t="s">
        <v>108</v>
      </c>
      <c r="G53" s="157"/>
      <c r="H53" s="157"/>
      <c r="I53" s="157"/>
      <c r="J53" s="190"/>
      <c r="K53" s="876">
        <f t="shared" si="0"/>
        <v>0</v>
      </c>
    </row>
    <row r="54" spans="2:11" ht="12.75">
      <c r="B54" s="65"/>
      <c r="C54" s="123"/>
      <c r="D54" s="123"/>
      <c r="E54" s="123"/>
      <c r="F54" s="199" t="s">
        <v>108</v>
      </c>
      <c r="G54" s="157"/>
      <c r="H54" s="157"/>
      <c r="I54" s="157"/>
      <c r="J54" s="190"/>
      <c r="K54" s="876">
        <f t="shared" si="0"/>
        <v>0</v>
      </c>
    </row>
    <row r="55" spans="2:11" ht="12.75">
      <c r="B55" s="65"/>
      <c r="C55" s="123"/>
      <c r="D55" s="123"/>
      <c r="E55" s="123"/>
      <c r="F55" s="123"/>
      <c r="G55" s="123"/>
      <c r="H55" s="123"/>
      <c r="I55" s="123"/>
      <c r="J55" s="190"/>
      <c r="K55" s="876"/>
    </row>
    <row r="56" spans="2:11" ht="13.5" thickBot="1">
      <c r="B56" s="191"/>
      <c r="C56" s="192"/>
      <c r="D56" s="192"/>
      <c r="E56" s="192"/>
      <c r="F56" s="192"/>
      <c r="G56" s="192"/>
      <c r="H56" s="192"/>
      <c r="I56" s="192"/>
      <c r="J56" s="193"/>
      <c r="K56" s="876"/>
    </row>
    <row r="57" ht="13.5" thickTop="1"/>
  </sheetData>
  <mergeCells count="10">
    <mergeCell ref="F8:I8"/>
    <mergeCell ref="B5:F5"/>
    <mergeCell ref="F9:I9"/>
    <mergeCell ref="B2:P2"/>
    <mergeCell ref="F16:I16"/>
    <mergeCell ref="G18:I18"/>
    <mergeCell ref="F10:I10"/>
    <mergeCell ref="F13:I13"/>
    <mergeCell ref="F15:I15"/>
    <mergeCell ref="F12:I12"/>
  </mergeCells>
  <printOptions horizontalCentered="1" verticalCentered="1"/>
  <pageMargins left="0.75" right="0.75" top="0.5" bottom="0.5" header="0.5" footer="0.5"/>
  <pageSetup fitToHeight="1" fitToWidth="1" horizontalDpi="600" verticalDpi="600" orientation="portrait" scale="66" r:id="rId1"/>
</worksheet>
</file>

<file path=xl/worksheets/sheet5.xml><?xml version="1.0" encoding="utf-8"?>
<worksheet xmlns="http://schemas.openxmlformats.org/spreadsheetml/2006/main" xmlns:r="http://schemas.openxmlformats.org/officeDocument/2006/relationships">
  <sheetPr codeName="Hoja5"/>
  <dimension ref="A1:T90"/>
  <sheetViews>
    <sheetView zoomScale="80" zoomScaleNormal="80" zoomScaleSheetLayoutView="25" workbookViewId="0" topLeftCell="E1">
      <selection activeCell="J18" sqref="J18"/>
    </sheetView>
  </sheetViews>
  <sheetFormatPr defaultColWidth="11.421875" defaultRowHeight="12.75"/>
  <cols>
    <col min="1" max="1" width="4.421875" style="4" customWidth="1"/>
    <col min="2" max="2" width="6.28125" style="4" customWidth="1"/>
    <col min="3" max="3" width="41.57421875" style="4" customWidth="1"/>
    <col min="4" max="4" width="57.00390625" style="4" customWidth="1"/>
    <col min="5" max="7" width="21.8515625" style="133" customWidth="1"/>
    <col min="8" max="8" width="28.140625" style="133" customWidth="1"/>
    <col min="9" max="10" width="22.57421875" style="4" customWidth="1"/>
    <col min="11" max="11" width="23.421875" style="4" customWidth="1"/>
    <col min="12" max="12" width="22.8515625" style="4" customWidth="1"/>
    <col min="13" max="13" width="22.421875" style="4" customWidth="1"/>
    <col min="14" max="14" width="25.57421875" style="4" customWidth="1"/>
    <col min="15" max="15" width="17.28125" style="4" customWidth="1"/>
    <col min="16" max="16" width="19.140625" style="4" customWidth="1"/>
    <col min="17" max="17" width="16.8515625" style="4" customWidth="1"/>
    <col min="18" max="18" width="19.140625" style="4" customWidth="1"/>
    <col min="19" max="19" width="17.57421875" style="4" customWidth="1"/>
    <col min="20" max="20" width="15.8515625" style="4" customWidth="1"/>
    <col min="21" max="21" width="16.8515625" style="4" customWidth="1"/>
    <col min="22" max="22" width="5.421875" style="4" customWidth="1"/>
    <col min="23" max="16384" width="9.7109375" style="4" customWidth="1"/>
  </cols>
  <sheetData>
    <row r="1" spans="1:20" s="964" customFormat="1" ht="18" customHeight="1">
      <c r="A1" s="1110" t="s">
        <v>46</v>
      </c>
      <c r="B1" s="1110"/>
      <c r="C1" s="1110"/>
      <c r="D1" s="1110"/>
      <c r="E1" s="1110"/>
      <c r="F1" s="1110"/>
      <c r="G1" s="1110"/>
      <c r="H1" s="1110"/>
      <c r="I1" s="1110"/>
      <c r="J1" s="1110"/>
      <c r="K1" s="1110"/>
      <c r="L1" s="1110"/>
      <c r="M1" s="1110"/>
      <c r="N1" s="1110"/>
      <c r="O1" s="1110"/>
      <c r="P1" s="1110"/>
      <c r="Q1" s="1110"/>
      <c r="R1" s="1110"/>
      <c r="S1" s="1110"/>
      <c r="T1" s="1110"/>
    </row>
    <row r="2" spans="4:12" ht="26.25">
      <c r="D2" s="965"/>
      <c r="E2" s="965"/>
      <c r="F2" s="965"/>
      <c r="G2" s="965"/>
      <c r="H2" s="965"/>
      <c r="I2" s="965"/>
      <c r="J2" s="965"/>
      <c r="K2" s="965"/>
      <c r="L2" s="942"/>
    </row>
    <row r="3" spans="3:12" ht="27.75" customHeight="1">
      <c r="C3" s="965" t="s">
        <v>445</v>
      </c>
      <c r="D3" s="965"/>
      <c r="E3" s="965"/>
      <c r="F3" s="965"/>
      <c r="G3" s="965"/>
      <c r="H3" s="965"/>
      <c r="I3" s="965"/>
      <c r="J3" s="965"/>
      <c r="K3" s="965"/>
      <c r="L3" s="965"/>
    </row>
    <row r="4" ht="22.5" customHeight="1">
      <c r="A4" s="39"/>
    </row>
    <row r="5" spans="1:12" ht="49.5" customHeight="1">
      <c r="A5" s="39"/>
      <c r="C5" s="1131" t="s">
        <v>617</v>
      </c>
      <c r="D5" s="1131"/>
      <c r="E5" s="1131"/>
      <c r="F5" s="1131"/>
      <c r="G5" s="1131"/>
      <c r="H5" s="1131"/>
      <c r="I5" s="1131"/>
      <c r="J5" s="1131"/>
      <c r="K5" s="1131"/>
      <c r="L5" s="1131"/>
    </row>
    <row r="6" spans="1:12" ht="12.75" customHeight="1">
      <c r="A6" s="39"/>
      <c r="C6" s="985"/>
      <c r="D6" s="986"/>
      <c r="E6" s="986"/>
      <c r="F6" s="986"/>
      <c r="G6" s="986"/>
      <c r="H6" s="986"/>
      <c r="I6" s="986"/>
      <c r="J6" s="987"/>
      <c r="K6" s="987"/>
      <c r="L6" s="964"/>
    </row>
    <row r="7" spans="1:9" ht="13.5" customHeight="1" thickBot="1">
      <c r="A7" s="39"/>
      <c r="C7" s="15"/>
      <c r="I7" s="559"/>
    </row>
    <row r="8" spans="1:9" ht="22.5" customHeight="1" thickTop="1">
      <c r="A8" s="39"/>
      <c r="B8" s="618" t="s">
        <v>207</v>
      </c>
      <c r="C8" s="612"/>
      <c r="D8" s="613"/>
      <c r="E8" s="614"/>
      <c r="F8" s="614"/>
      <c r="G8" s="614"/>
      <c r="H8" s="614"/>
      <c r="I8" s="622"/>
    </row>
    <row r="9" spans="1:9" ht="18" customHeight="1">
      <c r="A9" s="39"/>
      <c r="B9" s="992" t="s">
        <v>447</v>
      </c>
      <c r="C9" s="993"/>
      <c r="D9" s="150"/>
      <c r="E9" s="159"/>
      <c r="F9" s="159"/>
      <c r="G9" s="159"/>
      <c r="H9" s="159"/>
      <c r="I9" s="367"/>
    </row>
    <row r="10" spans="1:9" ht="18" customHeight="1">
      <c r="A10" s="39"/>
      <c r="B10" s="992" t="s">
        <v>448</v>
      </c>
      <c r="C10" s="993"/>
      <c r="D10" s="576"/>
      <c r="E10" s="2" t="s">
        <v>450</v>
      </c>
      <c r="F10" s="2"/>
      <c r="G10" s="2"/>
      <c r="H10" s="159"/>
      <c r="I10" s="367"/>
    </row>
    <row r="11" spans="1:9" ht="18" customHeight="1">
      <c r="A11" s="39"/>
      <c r="B11" s="992" t="s">
        <v>449</v>
      </c>
      <c r="C11" s="993"/>
      <c r="D11" s="152"/>
      <c r="E11" s="159"/>
      <c r="F11" s="159"/>
      <c r="G11" s="159"/>
      <c r="H11" s="159"/>
      <c r="I11" s="367"/>
    </row>
    <row r="12" spans="1:9" ht="18" customHeight="1">
      <c r="A12" s="39"/>
      <c r="B12" s="1133" t="s">
        <v>446</v>
      </c>
      <c r="C12" s="1134"/>
      <c r="D12" s="153"/>
      <c r="E12" s="159"/>
      <c r="F12" s="159"/>
      <c r="G12" s="159"/>
      <c r="H12" s="159"/>
      <c r="I12" s="367"/>
    </row>
    <row r="13" spans="2:19" ht="18" customHeight="1" thickBot="1">
      <c r="B13" s="619"/>
      <c r="C13" s="555"/>
      <c r="D13" s="555"/>
      <c r="E13" s="556"/>
      <c r="F13" s="556"/>
      <c r="G13" s="556"/>
      <c r="H13" s="558"/>
      <c r="I13" s="610"/>
      <c r="J13" s="1"/>
      <c r="K13" s="1"/>
      <c r="L13" s="1"/>
      <c r="M13" s="1"/>
      <c r="N13" s="1"/>
      <c r="O13" s="1"/>
      <c r="P13" s="1"/>
      <c r="Q13" s="1"/>
      <c r="R13" s="1"/>
      <c r="S13" s="1"/>
    </row>
    <row r="14" spans="2:19" ht="18" customHeight="1" thickBot="1" thickTop="1">
      <c r="B14" s="19"/>
      <c r="C14" s="19"/>
      <c r="D14" s="19"/>
      <c r="E14" s="134"/>
      <c r="F14" s="134"/>
      <c r="G14" s="134"/>
      <c r="H14" s="159"/>
      <c r="I14" s="1"/>
      <c r="J14" s="1"/>
      <c r="K14" s="1"/>
      <c r="L14" s="1"/>
      <c r="M14" s="1"/>
      <c r="N14" s="1"/>
      <c r="O14" s="1"/>
      <c r="P14" s="1"/>
      <c r="Q14" s="1"/>
      <c r="R14" s="1"/>
      <c r="S14" s="1"/>
    </row>
    <row r="15" spans="2:17" ht="18" customHeight="1" thickTop="1">
      <c r="B15" s="221"/>
      <c r="C15" s="53"/>
      <c r="D15" s="135"/>
      <c r="E15" s="135"/>
      <c r="F15" s="135"/>
      <c r="G15" s="135"/>
      <c r="H15" s="53"/>
      <c r="I15" s="53"/>
      <c r="J15" s="53"/>
      <c r="K15" s="53"/>
      <c r="L15" s="54"/>
      <c r="M15" s="1"/>
      <c r="N15" s="1"/>
      <c r="O15" s="1"/>
      <c r="P15" s="1"/>
      <c r="Q15" s="1"/>
    </row>
    <row r="16" spans="2:17" ht="18" customHeight="1">
      <c r="B16" s="55"/>
      <c r="C16" s="63"/>
      <c r="D16" s="136"/>
      <c r="E16" s="1119" t="s">
        <v>469</v>
      </c>
      <c r="F16" s="1135"/>
      <c r="G16" s="1120"/>
      <c r="H16" s="1119" t="s">
        <v>470</v>
      </c>
      <c r="I16" s="1120"/>
      <c r="J16" s="1119" t="s">
        <v>471</v>
      </c>
      <c r="K16" s="1120"/>
      <c r="L16" s="69"/>
      <c r="M16" s="1"/>
      <c r="N16" s="1"/>
      <c r="O16" s="1"/>
      <c r="P16" s="1"/>
      <c r="Q16" s="1"/>
    </row>
    <row r="17" spans="2:17" ht="18" customHeight="1">
      <c r="B17" s="55"/>
      <c r="C17" s="63"/>
      <c r="D17" s="136"/>
      <c r="E17" s="154" t="s">
        <v>409</v>
      </c>
      <c r="F17" s="1129" t="s">
        <v>410</v>
      </c>
      <c r="G17" s="1130"/>
      <c r="H17" s="3" t="s">
        <v>378</v>
      </c>
      <c r="I17" s="116" t="s">
        <v>411</v>
      </c>
      <c r="J17" s="117" t="s">
        <v>412</v>
      </c>
      <c r="K17" s="118" t="s">
        <v>413</v>
      </c>
      <c r="L17" s="70"/>
      <c r="M17" s="1"/>
      <c r="N17" s="1"/>
      <c r="O17" s="1"/>
      <c r="P17" s="1"/>
      <c r="Q17" s="1"/>
    </row>
    <row r="18" spans="2:17" ht="77.25" customHeight="1">
      <c r="B18" s="65"/>
      <c r="C18" s="1114" t="s">
        <v>451</v>
      </c>
      <c r="D18" s="1115"/>
      <c r="E18" s="155" t="s">
        <v>608</v>
      </c>
      <c r="F18" s="155" t="s">
        <v>513</v>
      </c>
      <c r="G18" s="155" t="s">
        <v>250</v>
      </c>
      <c r="H18" s="5" t="s">
        <v>459</v>
      </c>
      <c r="I18" s="5" t="s">
        <v>467</v>
      </c>
      <c r="J18" s="5" t="s">
        <v>615</v>
      </c>
      <c r="K18" s="8" t="s">
        <v>616</v>
      </c>
      <c r="L18" s="71"/>
      <c r="M18" s="1"/>
      <c r="N18" s="1"/>
      <c r="O18" s="1"/>
      <c r="P18" s="1"/>
      <c r="Q18" s="1"/>
    </row>
    <row r="19" spans="2:17" ht="33.75" customHeight="1">
      <c r="B19" s="55"/>
      <c r="C19" s="63"/>
      <c r="D19" s="136"/>
      <c r="E19" s="156" t="s">
        <v>607</v>
      </c>
      <c r="F19" s="177" t="s">
        <v>512</v>
      </c>
      <c r="G19" s="177" t="s">
        <v>840</v>
      </c>
      <c r="H19" s="8" t="s">
        <v>364</v>
      </c>
      <c r="I19" s="8" t="s">
        <v>364</v>
      </c>
      <c r="J19" s="8" t="s">
        <v>841</v>
      </c>
      <c r="K19" s="124" t="s">
        <v>879</v>
      </c>
      <c r="L19" s="71"/>
      <c r="M19" s="1"/>
      <c r="N19" s="1"/>
      <c r="O19" s="1"/>
      <c r="P19" s="1"/>
      <c r="Q19" s="1"/>
    </row>
    <row r="20" spans="2:17" ht="18" customHeight="1">
      <c r="B20" s="55"/>
      <c r="C20" s="228" t="s">
        <v>452</v>
      </c>
      <c r="D20" s="778" t="s">
        <v>453</v>
      </c>
      <c r="E20" s="67">
        <v>1000</v>
      </c>
      <c r="F20" s="1064">
        <v>0.0339</v>
      </c>
      <c r="G20" s="67">
        <v>33.91</v>
      </c>
      <c r="H20" s="67">
        <v>55.9</v>
      </c>
      <c r="I20" s="82" t="s">
        <v>364</v>
      </c>
      <c r="J20" s="125">
        <f>G20*H20</f>
        <v>1895.5689999999997</v>
      </c>
      <c r="K20" s="179">
        <f>J20/1000</f>
        <v>1.8955689999999998</v>
      </c>
      <c r="L20" s="68"/>
      <c r="M20" s="1"/>
      <c r="N20" s="1"/>
      <c r="O20" s="1"/>
      <c r="P20" s="1"/>
      <c r="Q20" s="1"/>
    </row>
    <row r="21" spans="2:17" ht="18" customHeight="1">
      <c r="B21" s="80"/>
      <c r="C21" s="43" t="s">
        <v>454</v>
      </c>
      <c r="D21" s="139" t="s">
        <v>455</v>
      </c>
      <c r="E21" s="12"/>
      <c r="F21" s="12"/>
      <c r="G21" s="12"/>
      <c r="H21" s="11"/>
      <c r="I21" s="37"/>
      <c r="J21" s="126"/>
      <c r="K21" s="12"/>
      <c r="L21" s="72"/>
      <c r="M21" s="1"/>
      <c r="N21" s="1"/>
      <c r="O21" s="1"/>
      <c r="P21" s="1"/>
      <c r="Q21" s="1"/>
    </row>
    <row r="22" spans="2:17" ht="18" customHeight="1">
      <c r="B22" s="55"/>
      <c r="C22" s="40"/>
      <c r="D22" s="140"/>
      <c r="E22" s="740"/>
      <c r="F22" s="1038"/>
      <c r="G22" s="128">
        <f>E22*F22</f>
        <v>0</v>
      </c>
      <c r="H22" s="128"/>
      <c r="I22" s="160" t="s">
        <v>444</v>
      </c>
      <c r="J22" s="128">
        <f>G22*H22</f>
        <v>0</v>
      </c>
      <c r="K22" s="128">
        <f aca="true" t="shared" si="0" ref="K22:K35">J22/1000</f>
        <v>0</v>
      </c>
      <c r="L22" s="73"/>
      <c r="M22" s="1"/>
      <c r="N22" s="1"/>
      <c r="O22" s="1"/>
      <c r="P22" s="1"/>
      <c r="Q22" s="1"/>
    </row>
    <row r="23" spans="2:17" ht="18" customHeight="1">
      <c r="B23" s="55"/>
      <c r="C23" s="40"/>
      <c r="D23" s="140"/>
      <c r="E23" s="740"/>
      <c r="F23" s="1038"/>
      <c r="G23" s="128">
        <f aca="true" t="shared" si="1" ref="G23:G35">E23*F23</f>
        <v>0</v>
      </c>
      <c r="H23" s="1038"/>
      <c r="I23" s="160" t="s">
        <v>444</v>
      </c>
      <c r="J23" s="128">
        <f aca="true" t="shared" si="2" ref="J23:J35">G23*H23</f>
        <v>0</v>
      </c>
      <c r="K23" s="128">
        <f t="shared" si="0"/>
        <v>0</v>
      </c>
      <c r="L23" s="73"/>
      <c r="M23" s="1"/>
      <c r="N23" s="1"/>
      <c r="O23" s="1"/>
      <c r="P23" s="1"/>
      <c r="Q23" s="1"/>
    </row>
    <row r="24" spans="2:17" ht="18" customHeight="1">
      <c r="B24" s="55"/>
      <c r="C24" s="40"/>
      <c r="D24" s="140"/>
      <c r="E24" s="740"/>
      <c r="F24" s="1038"/>
      <c r="G24" s="128">
        <f t="shared" si="1"/>
        <v>0</v>
      </c>
      <c r="H24" s="1038"/>
      <c r="I24" s="160" t="s">
        <v>444</v>
      </c>
      <c r="J24" s="128">
        <f t="shared" si="2"/>
        <v>0</v>
      </c>
      <c r="K24" s="128">
        <f t="shared" si="0"/>
        <v>0</v>
      </c>
      <c r="L24" s="73"/>
      <c r="M24" s="1"/>
      <c r="N24" s="1"/>
      <c r="O24" s="1"/>
      <c r="P24" s="1"/>
      <c r="Q24" s="1"/>
    </row>
    <row r="25" spans="2:17" ht="18" customHeight="1">
      <c r="B25" s="55"/>
      <c r="C25" s="40"/>
      <c r="D25" s="140"/>
      <c r="E25" s="740"/>
      <c r="F25" s="1038"/>
      <c r="G25" s="128">
        <f t="shared" si="1"/>
        <v>0</v>
      </c>
      <c r="H25" s="1038"/>
      <c r="I25" s="160" t="s">
        <v>444</v>
      </c>
      <c r="J25" s="128">
        <f t="shared" si="2"/>
        <v>0</v>
      </c>
      <c r="K25" s="128">
        <f t="shared" si="0"/>
        <v>0</v>
      </c>
      <c r="L25" s="73"/>
      <c r="M25" s="1"/>
      <c r="N25" s="1"/>
      <c r="O25" s="1"/>
      <c r="P25" s="1"/>
      <c r="Q25" s="1"/>
    </row>
    <row r="26" spans="2:17" ht="18" customHeight="1">
      <c r="B26" s="55"/>
      <c r="C26" s="40"/>
      <c r="D26" s="140"/>
      <c r="E26" s="740"/>
      <c r="F26" s="1038"/>
      <c r="G26" s="128">
        <f t="shared" si="1"/>
        <v>0</v>
      </c>
      <c r="H26" s="1038"/>
      <c r="I26" s="160" t="s">
        <v>444</v>
      </c>
      <c r="J26" s="128">
        <f t="shared" si="2"/>
        <v>0</v>
      </c>
      <c r="K26" s="128">
        <f t="shared" si="0"/>
        <v>0</v>
      </c>
      <c r="L26" s="73"/>
      <c r="M26" s="1"/>
      <c r="N26" s="1"/>
      <c r="O26" s="1"/>
      <c r="P26" s="1"/>
      <c r="Q26" s="1"/>
    </row>
    <row r="27" spans="2:17" ht="18" customHeight="1">
      <c r="B27" s="55"/>
      <c r="C27" s="40"/>
      <c r="D27" s="746"/>
      <c r="E27" s="740"/>
      <c r="F27" s="1038"/>
      <c r="G27" s="128">
        <f t="shared" si="1"/>
        <v>0</v>
      </c>
      <c r="H27" s="1038"/>
      <c r="I27" s="160" t="s">
        <v>444</v>
      </c>
      <c r="J27" s="128">
        <f t="shared" si="2"/>
        <v>0</v>
      </c>
      <c r="K27" s="128">
        <f t="shared" si="0"/>
        <v>0</v>
      </c>
      <c r="L27" s="73"/>
      <c r="M27" s="1"/>
      <c r="N27" s="1"/>
      <c r="O27" s="1"/>
      <c r="P27" s="1"/>
      <c r="Q27" s="1"/>
    </row>
    <row r="28" spans="2:17" ht="18" customHeight="1">
      <c r="B28" s="55"/>
      <c r="C28" s="40"/>
      <c r="D28" s="140"/>
      <c r="E28" s="740"/>
      <c r="F28" s="1038"/>
      <c r="G28" s="128">
        <f t="shared" si="1"/>
        <v>0</v>
      </c>
      <c r="H28" s="1038"/>
      <c r="I28" s="160" t="s">
        <v>444</v>
      </c>
      <c r="J28" s="128">
        <f t="shared" si="2"/>
        <v>0</v>
      </c>
      <c r="K28" s="128">
        <f t="shared" si="0"/>
        <v>0</v>
      </c>
      <c r="L28" s="73"/>
      <c r="M28" s="1"/>
      <c r="N28" s="1"/>
      <c r="O28" s="1"/>
      <c r="P28" s="1"/>
      <c r="Q28" s="1"/>
    </row>
    <row r="29" spans="2:17" ht="18" customHeight="1">
      <c r="B29" s="55"/>
      <c r="C29" s="40"/>
      <c r="D29" s="140"/>
      <c r="E29" s="740"/>
      <c r="F29" s="1038"/>
      <c r="G29" s="128">
        <f t="shared" si="1"/>
        <v>0</v>
      </c>
      <c r="H29" s="1038"/>
      <c r="I29" s="160" t="s">
        <v>444</v>
      </c>
      <c r="J29" s="128">
        <f t="shared" si="2"/>
        <v>0</v>
      </c>
      <c r="K29" s="128">
        <f t="shared" si="0"/>
        <v>0</v>
      </c>
      <c r="L29" s="73"/>
      <c r="M29" s="1"/>
      <c r="N29" s="1"/>
      <c r="O29" s="1"/>
      <c r="P29" s="1"/>
      <c r="Q29" s="1"/>
    </row>
    <row r="30" spans="2:17" ht="18" customHeight="1">
      <c r="B30" s="55"/>
      <c r="C30" s="40"/>
      <c r="D30" s="140"/>
      <c r="E30" s="740"/>
      <c r="F30" s="1038"/>
      <c r="G30" s="128">
        <f t="shared" si="1"/>
        <v>0</v>
      </c>
      <c r="H30" s="1038"/>
      <c r="I30" s="160" t="s">
        <v>444</v>
      </c>
      <c r="J30" s="128">
        <f t="shared" si="2"/>
        <v>0</v>
      </c>
      <c r="K30" s="128">
        <f t="shared" si="0"/>
        <v>0</v>
      </c>
      <c r="L30" s="73"/>
      <c r="M30" s="1"/>
      <c r="N30" s="1"/>
      <c r="O30" s="1"/>
      <c r="P30" s="1"/>
      <c r="Q30" s="1"/>
    </row>
    <row r="31" spans="2:19" ht="18" customHeight="1">
      <c r="B31" s="55"/>
      <c r="C31" s="40"/>
      <c r="D31" s="140"/>
      <c r="E31" s="740"/>
      <c r="F31" s="1038"/>
      <c r="G31" s="128">
        <f t="shared" si="1"/>
        <v>0</v>
      </c>
      <c r="H31" s="1038"/>
      <c r="I31" s="160" t="s">
        <v>444</v>
      </c>
      <c r="J31" s="128">
        <f t="shared" si="2"/>
        <v>0</v>
      </c>
      <c r="K31" s="128">
        <f t="shared" si="0"/>
        <v>0</v>
      </c>
      <c r="L31" s="73"/>
      <c r="M31" s="1"/>
      <c r="N31" s="1"/>
      <c r="O31" s="1"/>
      <c r="P31" s="1"/>
      <c r="Q31" s="1"/>
      <c r="R31" s="1"/>
      <c r="S31" s="1"/>
    </row>
    <row r="32" spans="2:19" ht="18" customHeight="1">
      <c r="B32" s="55"/>
      <c r="C32" s="40"/>
      <c r="D32" s="140"/>
      <c r="E32" s="740"/>
      <c r="F32" s="1038"/>
      <c r="G32" s="128">
        <f t="shared" si="1"/>
        <v>0</v>
      </c>
      <c r="H32" s="1038"/>
      <c r="I32" s="160" t="s">
        <v>444</v>
      </c>
      <c r="J32" s="128">
        <f t="shared" si="2"/>
        <v>0</v>
      </c>
      <c r="K32" s="128">
        <f t="shared" si="0"/>
        <v>0</v>
      </c>
      <c r="L32" s="73"/>
      <c r="M32" s="1"/>
      <c r="N32" s="1"/>
      <c r="O32" s="1"/>
      <c r="P32" s="1"/>
      <c r="Q32" s="1"/>
      <c r="R32" s="1"/>
      <c r="S32" s="1"/>
    </row>
    <row r="33" spans="2:19" ht="18" customHeight="1">
      <c r="B33" s="55"/>
      <c r="C33" s="40"/>
      <c r="D33" s="140"/>
      <c r="E33" s="740"/>
      <c r="F33" s="1038"/>
      <c r="G33" s="128">
        <f t="shared" si="1"/>
        <v>0</v>
      </c>
      <c r="H33" s="1038"/>
      <c r="I33" s="160" t="s">
        <v>444</v>
      </c>
      <c r="J33" s="128">
        <f t="shared" si="2"/>
        <v>0</v>
      </c>
      <c r="K33" s="128">
        <f t="shared" si="0"/>
        <v>0</v>
      </c>
      <c r="L33" s="73"/>
      <c r="M33" s="1"/>
      <c r="N33" s="1"/>
      <c r="O33" s="1"/>
      <c r="P33" s="1"/>
      <c r="Q33" s="1"/>
      <c r="R33" s="1"/>
      <c r="S33" s="1"/>
    </row>
    <row r="34" spans="2:19" ht="18" customHeight="1">
      <c r="B34" s="55"/>
      <c r="C34" s="40"/>
      <c r="D34" s="828" t="s">
        <v>257</v>
      </c>
      <c r="E34" s="157"/>
      <c r="F34" s="1039"/>
      <c r="G34" s="128">
        <f t="shared" si="1"/>
        <v>0</v>
      </c>
      <c r="H34" s="1039"/>
      <c r="I34" s="160" t="s">
        <v>444</v>
      </c>
      <c r="J34" s="128">
        <f t="shared" si="2"/>
        <v>0</v>
      </c>
      <c r="K34" s="128">
        <f t="shared" si="0"/>
        <v>0</v>
      </c>
      <c r="L34" s="73"/>
      <c r="M34" s="1"/>
      <c r="N34" s="1"/>
      <c r="O34" s="1"/>
      <c r="P34" s="1"/>
      <c r="Q34" s="1"/>
      <c r="R34" s="1"/>
      <c r="S34" s="1"/>
    </row>
    <row r="35" spans="2:12" ht="18" customHeight="1">
      <c r="B35" s="55"/>
      <c r="C35" s="40"/>
      <c r="D35" s="828" t="s">
        <v>257</v>
      </c>
      <c r="E35" s="157"/>
      <c r="F35" s="1039"/>
      <c r="G35" s="128">
        <f t="shared" si="1"/>
        <v>0</v>
      </c>
      <c r="H35" s="1039"/>
      <c r="I35" s="160" t="s">
        <v>444</v>
      </c>
      <c r="J35" s="128">
        <f t="shared" si="2"/>
        <v>0</v>
      </c>
      <c r="K35" s="128">
        <f t="shared" si="0"/>
        <v>0</v>
      </c>
      <c r="L35" s="73"/>
    </row>
    <row r="36" spans="2:12" ht="18" customHeight="1">
      <c r="B36" s="76"/>
      <c r="C36" s="77"/>
      <c r="D36" s="142"/>
      <c r="E36" s="142"/>
      <c r="F36" s="142"/>
      <c r="G36" s="142"/>
      <c r="H36" s="77"/>
      <c r="I36" s="77"/>
      <c r="J36" s="129"/>
      <c r="K36" s="129"/>
      <c r="L36" s="74"/>
    </row>
    <row r="37" spans="2:12" ht="36" customHeight="1">
      <c r="B37" s="76"/>
      <c r="C37" s="77"/>
      <c r="D37" s="142"/>
      <c r="E37" s="142"/>
      <c r="F37" s="142"/>
      <c r="G37" s="142"/>
      <c r="H37" s="77"/>
      <c r="I37" s="1121" t="s">
        <v>146</v>
      </c>
      <c r="J37" s="1122"/>
      <c r="K37" s="130">
        <f>SUM(K22:K35)</f>
        <v>0</v>
      </c>
      <c r="L37" s="796" t="s">
        <v>473</v>
      </c>
    </row>
    <row r="38" spans="2:12" ht="43.5" customHeight="1">
      <c r="B38" s="76"/>
      <c r="C38" s="77"/>
      <c r="D38" s="142"/>
      <c r="E38" s="142"/>
      <c r="F38" s="142"/>
      <c r="G38" s="142"/>
      <c r="H38" s="77"/>
      <c r="I38" s="1121" t="s">
        <v>671</v>
      </c>
      <c r="J38" s="1132"/>
      <c r="K38" s="130">
        <f>+'Direct-CH4 &amp; N2O'!J42</f>
        <v>0</v>
      </c>
      <c r="L38" s="796" t="s">
        <v>473</v>
      </c>
    </row>
    <row r="39" spans="2:12" ht="50.25" customHeight="1">
      <c r="B39" s="76"/>
      <c r="C39" s="77"/>
      <c r="D39" s="142"/>
      <c r="E39" s="142"/>
      <c r="F39" s="142"/>
      <c r="G39" s="142"/>
      <c r="H39" s="77"/>
      <c r="I39" s="1121" t="s">
        <v>347</v>
      </c>
      <c r="J39" s="1132"/>
      <c r="K39" s="130">
        <f>+'CO2 Imports and Exports'!E21</f>
        <v>0</v>
      </c>
      <c r="L39" s="796" t="s">
        <v>473</v>
      </c>
    </row>
    <row r="40" spans="2:12" ht="42.75" customHeight="1">
      <c r="B40" s="76"/>
      <c r="C40" s="77"/>
      <c r="D40" s="142"/>
      <c r="E40" s="142"/>
      <c r="F40" s="142"/>
      <c r="G40" s="142"/>
      <c r="H40" s="77"/>
      <c r="I40" s="1121" t="s">
        <v>472</v>
      </c>
      <c r="J40" s="1132"/>
      <c r="K40" s="776">
        <f>K37+K38+K39</f>
        <v>0</v>
      </c>
      <c r="L40" s="796" t="s">
        <v>473</v>
      </c>
    </row>
    <row r="41" spans="2:12" ht="18" customHeight="1" thickBot="1">
      <c r="B41" s="78"/>
      <c r="C41" s="79"/>
      <c r="D41" s="143"/>
      <c r="E41" s="143"/>
      <c r="F41" s="143"/>
      <c r="G41" s="143"/>
      <c r="H41" s="79"/>
      <c r="I41" s="79"/>
      <c r="J41" s="79"/>
      <c r="K41" s="79"/>
      <c r="L41" s="178"/>
    </row>
    <row r="42" spans="2:12" ht="23.25" customHeight="1" thickTop="1">
      <c r="B42" s="19"/>
      <c r="C42" s="19"/>
      <c r="D42" s="19"/>
      <c r="E42" s="134"/>
      <c r="F42" s="134"/>
      <c r="G42" s="134"/>
      <c r="H42" s="159"/>
      <c r="I42" s="1"/>
      <c r="J42" s="1"/>
      <c r="K42" s="1"/>
      <c r="L42" s="1"/>
    </row>
    <row r="43" spans="2:12" ht="18" customHeight="1">
      <c r="B43" s="19"/>
      <c r="C43" s="170" t="s">
        <v>474</v>
      </c>
      <c r="D43" s="170"/>
      <c r="E43" s="168"/>
      <c r="F43" s="168"/>
      <c r="G43" s="168"/>
      <c r="H43" s="168"/>
      <c r="I43" s="2"/>
      <c r="J43" s="1"/>
      <c r="K43" s="1"/>
      <c r="L43" s="1"/>
    </row>
    <row r="44" ht="18" customHeight="1" thickBot="1"/>
    <row r="45" spans="2:20" ht="18" customHeight="1" thickTop="1">
      <c r="B45" s="85"/>
      <c r="C45" s="86"/>
      <c r="D45" s="1125" t="s">
        <v>18</v>
      </c>
      <c r="E45" s="1126"/>
      <c r="F45" s="1126"/>
      <c r="G45" s="1126"/>
      <c r="H45" s="175"/>
      <c r="I45" s="144"/>
      <c r="J45" s="144"/>
      <c r="K45" s="86"/>
      <c r="L45" s="86"/>
      <c r="M45" s="86"/>
      <c r="N45" s="86"/>
      <c r="O45" s="86"/>
      <c r="P45" s="86"/>
      <c r="Q45" s="86"/>
      <c r="R45" s="86"/>
      <c r="S45" s="86"/>
      <c r="T45" s="83"/>
    </row>
    <row r="46" spans="2:20" ht="20.25" customHeight="1">
      <c r="B46" s="87"/>
      <c r="C46" s="88"/>
      <c r="D46" s="1127"/>
      <c r="E46" s="1128"/>
      <c r="F46" s="1128"/>
      <c r="G46" s="1128"/>
      <c r="H46" s="1112" t="s">
        <v>538</v>
      </c>
      <c r="I46" s="1113"/>
      <c r="J46" s="1113"/>
      <c r="K46" s="1113"/>
      <c r="L46" s="1113"/>
      <c r="M46" s="1113"/>
      <c r="N46" s="1113"/>
      <c r="O46" s="1113"/>
      <c r="P46" s="1113"/>
      <c r="Q46" s="1113"/>
      <c r="R46" s="1113"/>
      <c r="S46" s="1113"/>
      <c r="T46" s="84"/>
    </row>
    <row r="47" spans="2:20" ht="19.5" customHeight="1">
      <c r="B47" s="87"/>
      <c r="C47" s="89"/>
      <c r="D47" s="1123" t="s">
        <v>475</v>
      </c>
      <c r="E47" s="1124"/>
      <c r="F47" s="1124"/>
      <c r="G47" s="1124"/>
      <c r="H47" s="176"/>
      <c r="I47" s="145"/>
      <c r="J47" s="145"/>
      <c r="K47" s="89"/>
      <c r="L47" s="89"/>
      <c r="M47" s="89"/>
      <c r="N47" s="89"/>
      <c r="O47" s="89"/>
      <c r="P47" s="89"/>
      <c r="Q47" s="89"/>
      <c r="R47" s="89"/>
      <c r="S47" s="89"/>
      <c r="T47" s="84"/>
    </row>
    <row r="48" spans="2:20" ht="84" customHeight="1">
      <c r="B48" s="868"/>
      <c r="C48" s="934" t="s">
        <v>455</v>
      </c>
      <c r="D48" s="35" t="s">
        <v>609</v>
      </c>
      <c r="E48" s="35" t="s">
        <v>610</v>
      </c>
      <c r="F48" s="35" t="s">
        <v>611</v>
      </c>
      <c r="G48" s="232" t="s">
        <v>612</v>
      </c>
      <c r="H48" s="230" t="s">
        <v>482</v>
      </c>
      <c r="I48" s="49" t="s">
        <v>483</v>
      </c>
      <c r="J48" s="49" t="s">
        <v>484</v>
      </c>
      <c r="K48" s="35" t="s">
        <v>485</v>
      </c>
      <c r="L48" s="35" t="s">
        <v>486</v>
      </c>
      <c r="M48" s="47" t="s">
        <v>484</v>
      </c>
      <c r="N48" s="47" t="s">
        <v>613</v>
      </c>
      <c r="O48" s="47" t="s">
        <v>477</v>
      </c>
      <c r="P48" s="47" t="s">
        <v>478</v>
      </c>
      <c r="Q48" s="47" t="s">
        <v>614</v>
      </c>
      <c r="R48" s="47" t="s">
        <v>480</v>
      </c>
      <c r="S48" s="47" t="s">
        <v>481</v>
      </c>
      <c r="T48" s="84"/>
    </row>
    <row r="49" spans="2:20" ht="84" customHeight="1">
      <c r="B49" s="868"/>
      <c r="C49" s="42" t="s">
        <v>487</v>
      </c>
      <c r="D49" s="42">
        <v>76.6</v>
      </c>
      <c r="E49" s="42">
        <v>0.003</v>
      </c>
      <c r="F49" s="42">
        <v>0.0003</v>
      </c>
      <c r="G49" s="234">
        <f aca="true" t="shared" si="3" ref="G49:G79">D49+21*E49+310*F49</f>
        <v>76.756</v>
      </c>
      <c r="H49" s="231">
        <v>77.3</v>
      </c>
      <c r="I49" s="105">
        <v>81.55</v>
      </c>
      <c r="J49" s="105">
        <v>278.26</v>
      </c>
      <c r="K49" s="105">
        <v>74.76777251184834</v>
      </c>
      <c r="L49" s="105">
        <v>78.88</v>
      </c>
      <c r="M49" s="105">
        <v>269.2150170648464</v>
      </c>
      <c r="N49" s="105" t="s">
        <v>382</v>
      </c>
      <c r="O49" s="105" t="s">
        <v>387</v>
      </c>
      <c r="P49" s="105">
        <v>3.120211360634082</v>
      </c>
      <c r="Q49" s="105">
        <v>11.81</v>
      </c>
      <c r="R49" s="105"/>
      <c r="S49" s="105"/>
      <c r="T49" s="84"/>
    </row>
    <row r="50" spans="2:20" ht="84" customHeight="1">
      <c r="B50" s="868"/>
      <c r="C50" s="42" t="s">
        <v>488</v>
      </c>
      <c r="D50" s="42">
        <v>76.6</v>
      </c>
      <c r="E50" s="42">
        <v>0.0027</v>
      </c>
      <c r="F50" s="42">
        <v>0.0004</v>
      </c>
      <c r="G50" s="234">
        <f t="shared" si="3"/>
        <v>76.7807</v>
      </c>
      <c r="H50" s="231"/>
      <c r="I50" s="105"/>
      <c r="J50" s="105"/>
      <c r="K50" s="105"/>
      <c r="L50" s="105"/>
      <c r="M50" s="105"/>
      <c r="N50" s="105"/>
      <c r="O50" s="105"/>
      <c r="P50" s="105"/>
      <c r="Q50" s="105"/>
      <c r="R50" s="105"/>
      <c r="S50" s="105"/>
      <c r="T50" s="84"/>
    </row>
    <row r="51" spans="2:20" ht="84" customHeight="1">
      <c r="B51" s="868"/>
      <c r="C51" s="42" t="s">
        <v>489</v>
      </c>
      <c r="D51" s="42">
        <v>76.6</v>
      </c>
      <c r="E51" s="42">
        <v>0.0027</v>
      </c>
      <c r="F51" s="42">
        <v>0</v>
      </c>
      <c r="G51" s="234">
        <f t="shared" si="3"/>
        <v>76.6567</v>
      </c>
      <c r="H51" s="231"/>
      <c r="I51" s="105"/>
      <c r="J51" s="105"/>
      <c r="K51" s="105"/>
      <c r="L51" s="105"/>
      <c r="M51" s="105"/>
      <c r="N51" s="105"/>
      <c r="O51" s="105"/>
      <c r="P51" s="105"/>
      <c r="Q51" s="105"/>
      <c r="R51" s="105"/>
      <c r="S51" s="105"/>
      <c r="T51" s="84"/>
    </row>
    <row r="52" spans="2:20" ht="84" customHeight="1">
      <c r="B52" s="868"/>
      <c r="C52" s="42" t="s">
        <v>490</v>
      </c>
      <c r="D52" s="237">
        <v>96.33399999999999</v>
      </c>
      <c r="E52" s="42">
        <v>0.01</v>
      </c>
      <c r="F52" s="42">
        <v>0.0014</v>
      </c>
      <c r="G52" s="234">
        <f t="shared" si="3"/>
        <v>96.97799999999998</v>
      </c>
      <c r="H52" s="231">
        <v>98.3</v>
      </c>
      <c r="I52" s="105">
        <v>103.7</v>
      </c>
      <c r="J52" s="105">
        <v>353.85</v>
      </c>
      <c r="K52" s="105">
        <v>97.77251184834124</v>
      </c>
      <c r="L52" s="105">
        <v>103.15</v>
      </c>
      <c r="M52" s="105">
        <v>352.04778156996593</v>
      </c>
      <c r="N52" s="105">
        <v>1926.0361552028219</v>
      </c>
      <c r="O52" s="105">
        <v>1747.3</v>
      </c>
      <c r="P52" s="105"/>
      <c r="Q52" s="105"/>
      <c r="R52" s="105"/>
      <c r="S52" s="105"/>
      <c r="T52" s="84"/>
    </row>
    <row r="53" spans="2:20" ht="84" customHeight="1">
      <c r="B53" s="868"/>
      <c r="C53" s="42" t="s">
        <v>492</v>
      </c>
      <c r="D53" s="237">
        <v>92.708</v>
      </c>
      <c r="E53" s="42">
        <v>0.0007</v>
      </c>
      <c r="F53" s="42">
        <v>0.0005</v>
      </c>
      <c r="G53" s="234">
        <f t="shared" si="3"/>
        <v>92.8777</v>
      </c>
      <c r="H53" s="231">
        <v>94.53</v>
      </c>
      <c r="I53" s="105">
        <v>99.73</v>
      </c>
      <c r="J53" s="105">
        <v>340.28</v>
      </c>
      <c r="K53" s="105">
        <v>88.2654028436019</v>
      </c>
      <c r="L53" s="105">
        <v>93.12</v>
      </c>
      <c r="M53" s="105">
        <v>317.8156996587031</v>
      </c>
      <c r="N53" s="105">
        <v>2465.608465608466</v>
      </c>
      <c r="O53" s="105">
        <v>2236.8</v>
      </c>
      <c r="P53" s="105"/>
      <c r="Q53" s="105"/>
      <c r="R53" s="105"/>
      <c r="S53" s="105"/>
      <c r="T53" s="84"/>
    </row>
    <row r="54" spans="2:20" ht="84" customHeight="1">
      <c r="B54" s="868"/>
      <c r="C54" s="42" t="s">
        <v>493</v>
      </c>
      <c r="D54" s="237">
        <v>92.708</v>
      </c>
      <c r="E54" s="42">
        <v>0.0009</v>
      </c>
      <c r="F54" s="42">
        <v>0.0016</v>
      </c>
      <c r="G54" s="234">
        <f t="shared" si="3"/>
        <v>93.2229</v>
      </c>
      <c r="H54" s="231">
        <v>94.53</v>
      </c>
      <c r="I54" s="105">
        <v>99.73</v>
      </c>
      <c r="J54" s="105">
        <v>340.28</v>
      </c>
      <c r="K54" s="105">
        <v>88.2654028436019</v>
      </c>
      <c r="L54" s="105">
        <v>93.12</v>
      </c>
      <c r="M54" s="105">
        <v>317.8156996587031</v>
      </c>
      <c r="N54" s="105">
        <v>2465.608465608466</v>
      </c>
      <c r="O54" s="105">
        <v>2236.8</v>
      </c>
      <c r="P54" s="105"/>
      <c r="Q54" s="105"/>
      <c r="R54" s="105"/>
      <c r="S54" s="105"/>
      <c r="T54" s="84"/>
    </row>
    <row r="55" spans="2:20" ht="84" customHeight="1">
      <c r="B55" s="868"/>
      <c r="C55" s="42" t="s">
        <v>491</v>
      </c>
      <c r="D55" s="237">
        <v>92.708</v>
      </c>
      <c r="E55" s="42">
        <v>0.0007</v>
      </c>
      <c r="F55" s="42">
        <v>0.0016</v>
      </c>
      <c r="G55" s="234">
        <f t="shared" si="3"/>
        <v>93.2187</v>
      </c>
      <c r="H55" s="231">
        <v>94.53</v>
      </c>
      <c r="I55" s="105">
        <v>99.73</v>
      </c>
      <c r="J55" s="105">
        <v>340.28</v>
      </c>
      <c r="K55" s="105">
        <v>88.2654028436019</v>
      </c>
      <c r="L55" s="105">
        <v>93.12</v>
      </c>
      <c r="M55" s="105">
        <v>317.8156996587031</v>
      </c>
      <c r="N55" s="105">
        <v>2465.608465608466</v>
      </c>
      <c r="O55" s="105">
        <v>2236.8</v>
      </c>
      <c r="P55" s="105"/>
      <c r="Q55" s="105"/>
      <c r="R55" s="105"/>
      <c r="S55" s="105"/>
      <c r="T55" s="84"/>
    </row>
    <row r="56" spans="2:20" ht="84" customHeight="1">
      <c r="B56" s="868"/>
      <c r="C56" s="42" t="s">
        <v>494</v>
      </c>
      <c r="D56" s="237">
        <v>92.708</v>
      </c>
      <c r="E56" s="42">
        <v>0.001</v>
      </c>
      <c r="F56" s="42">
        <v>0.0016</v>
      </c>
      <c r="G56" s="234">
        <f t="shared" si="3"/>
        <v>93.225</v>
      </c>
      <c r="H56" s="231">
        <v>94.53</v>
      </c>
      <c r="I56" s="105">
        <v>99.73</v>
      </c>
      <c r="J56" s="105">
        <v>340.28</v>
      </c>
      <c r="K56" s="105">
        <v>88.2654028436019</v>
      </c>
      <c r="L56" s="105">
        <v>93.12</v>
      </c>
      <c r="M56" s="105">
        <v>317.8156996587031</v>
      </c>
      <c r="N56" s="105">
        <v>2465.608465608466</v>
      </c>
      <c r="O56" s="105">
        <v>2236.8</v>
      </c>
      <c r="P56" s="105"/>
      <c r="Q56" s="105"/>
      <c r="R56" s="105"/>
      <c r="S56" s="105"/>
      <c r="T56" s="84"/>
    </row>
    <row r="57" spans="2:20" ht="84" customHeight="1">
      <c r="B57" s="868"/>
      <c r="C57" s="42" t="s">
        <v>495</v>
      </c>
      <c r="D57" s="237">
        <v>92.708</v>
      </c>
      <c r="E57" s="42">
        <v>0.014</v>
      </c>
      <c r="F57" s="42">
        <v>0.0016</v>
      </c>
      <c r="G57" s="234">
        <f t="shared" si="3"/>
        <v>93.49799999999999</v>
      </c>
      <c r="H57" s="231">
        <v>94.53</v>
      </c>
      <c r="I57" s="105">
        <v>99.73</v>
      </c>
      <c r="J57" s="105">
        <v>340.28</v>
      </c>
      <c r="K57" s="105">
        <v>88.2654028436019</v>
      </c>
      <c r="L57" s="105">
        <v>93.12</v>
      </c>
      <c r="M57" s="105">
        <v>317.8156996587031</v>
      </c>
      <c r="N57" s="105">
        <v>2465.608465608466</v>
      </c>
      <c r="O57" s="105">
        <v>2236.8</v>
      </c>
      <c r="P57" s="105"/>
      <c r="Q57" s="105"/>
      <c r="R57" s="105"/>
      <c r="S57" s="105"/>
      <c r="T57" s="84"/>
    </row>
    <row r="58" spans="2:20" ht="84" customHeight="1">
      <c r="B58" s="868"/>
      <c r="C58" s="42" t="s">
        <v>496</v>
      </c>
      <c r="D58" s="237">
        <v>92.708</v>
      </c>
      <c r="E58" s="42">
        <v>0.001</v>
      </c>
      <c r="F58" s="42">
        <v>0.096</v>
      </c>
      <c r="G58" s="234">
        <f t="shared" si="3"/>
        <v>122.489</v>
      </c>
      <c r="H58" s="231">
        <v>94.53</v>
      </c>
      <c r="I58" s="105">
        <v>99.73</v>
      </c>
      <c r="J58" s="105">
        <v>340.28</v>
      </c>
      <c r="K58" s="105">
        <v>88.2654028436019</v>
      </c>
      <c r="L58" s="105">
        <v>93.12</v>
      </c>
      <c r="M58" s="105">
        <v>317.8156996587031</v>
      </c>
      <c r="N58" s="105">
        <v>2465.608465608466</v>
      </c>
      <c r="O58" s="105">
        <v>2236.8</v>
      </c>
      <c r="P58" s="105"/>
      <c r="Q58" s="105"/>
      <c r="R58" s="105"/>
      <c r="S58" s="105"/>
      <c r="T58" s="84"/>
    </row>
    <row r="59" spans="2:20" ht="84" customHeight="1">
      <c r="B59" s="868"/>
      <c r="C59" s="42" t="s">
        <v>497</v>
      </c>
      <c r="D59" s="237">
        <v>92.708</v>
      </c>
      <c r="E59" s="42">
        <v>0.001</v>
      </c>
      <c r="F59" s="42">
        <v>0.0016</v>
      </c>
      <c r="G59" s="234">
        <f t="shared" si="3"/>
        <v>93.225</v>
      </c>
      <c r="H59" s="231">
        <v>94.53</v>
      </c>
      <c r="I59" s="105">
        <v>99.73</v>
      </c>
      <c r="J59" s="105">
        <v>340.28</v>
      </c>
      <c r="K59" s="105">
        <v>88.2654028436019</v>
      </c>
      <c r="L59" s="105">
        <v>93.12</v>
      </c>
      <c r="M59" s="105">
        <v>317.8156996587031</v>
      </c>
      <c r="N59" s="105">
        <v>2465.608465608466</v>
      </c>
      <c r="O59" s="105">
        <v>2236.8</v>
      </c>
      <c r="P59" s="105"/>
      <c r="Q59" s="105"/>
      <c r="R59" s="105"/>
      <c r="S59" s="105"/>
      <c r="T59" s="84"/>
    </row>
    <row r="60" spans="2:20" ht="84" customHeight="1">
      <c r="B60" s="868"/>
      <c r="C60" s="42" t="s">
        <v>516</v>
      </c>
      <c r="D60" s="237">
        <v>94.178</v>
      </c>
      <c r="E60" s="42">
        <v>0.001</v>
      </c>
      <c r="F60" s="42">
        <v>0.0016</v>
      </c>
      <c r="G60" s="234">
        <f t="shared" si="3"/>
        <v>94.695</v>
      </c>
      <c r="H60" s="231">
        <v>96</v>
      </c>
      <c r="I60" s="105">
        <v>101.28</v>
      </c>
      <c r="J60" s="105">
        <v>345.57</v>
      </c>
      <c r="K60" s="105">
        <v>91.45023696682465</v>
      </c>
      <c r="L60" s="105">
        <v>96.48</v>
      </c>
      <c r="M60" s="105">
        <v>329.283276450512</v>
      </c>
      <c r="N60" s="105">
        <v>1857.9144620811287</v>
      </c>
      <c r="O60" s="105">
        <v>1685.5</v>
      </c>
      <c r="P60" s="105"/>
      <c r="Q60" s="105"/>
      <c r="R60" s="105"/>
      <c r="S60" s="105"/>
      <c r="T60" s="84"/>
    </row>
    <row r="61" spans="2:20" ht="84" customHeight="1">
      <c r="B61" s="868"/>
      <c r="C61" s="42" t="s">
        <v>517</v>
      </c>
      <c r="D61" s="237">
        <v>94.178</v>
      </c>
      <c r="E61" s="42">
        <v>0.014</v>
      </c>
      <c r="F61" s="42">
        <v>0.0016</v>
      </c>
      <c r="G61" s="234">
        <f t="shared" si="3"/>
        <v>94.96799999999999</v>
      </c>
      <c r="H61" s="231">
        <v>96</v>
      </c>
      <c r="I61" s="105">
        <v>101.28</v>
      </c>
      <c r="J61" s="105">
        <v>345.57</v>
      </c>
      <c r="K61" s="105">
        <v>91.45023696682465</v>
      </c>
      <c r="L61" s="105">
        <v>96.48</v>
      </c>
      <c r="M61" s="105">
        <v>329.283276450512</v>
      </c>
      <c r="N61" s="105">
        <v>1857.9144620811287</v>
      </c>
      <c r="O61" s="105">
        <v>1685.5</v>
      </c>
      <c r="P61" s="105"/>
      <c r="Q61" s="105"/>
      <c r="R61" s="105"/>
      <c r="S61" s="105"/>
      <c r="T61" s="84"/>
    </row>
    <row r="62" spans="2:20" ht="84" customHeight="1">
      <c r="B62" s="868"/>
      <c r="C62" s="42" t="s">
        <v>518</v>
      </c>
      <c r="D62" s="237">
        <v>94.178</v>
      </c>
      <c r="E62" s="42">
        <v>0.001</v>
      </c>
      <c r="F62" s="42">
        <v>0.096</v>
      </c>
      <c r="G62" s="234">
        <f t="shared" si="3"/>
        <v>123.959</v>
      </c>
      <c r="H62" s="231">
        <v>96</v>
      </c>
      <c r="I62" s="105">
        <v>101.28</v>
      </c>
      <c r="J62" s="105">
        <v>345.57</v>
      </c>
      <c r="K62" s="105">
        <v>91.45023696682465</v>
      </c>
      <c r="L62" s="105">
        <v>96.48</v>
      </c>
      <c r="M62" s="105">
        <v>329.283276450512</v>
      </c>
      <c r="N62" s="105">
        <v>1857.9144620811287</v>
      </c>
      <c r="O62" s="105">
        <v>1685.5</v>
      </c>
      <c r="P62" s="105"/>
      <c r="Q62" s="105"/>
      <c r="R62" s="105"/>
      <c r="S62" s="105"/>
      <c r="T62" s="84"/>
    </row>
    <row r="63" spans="2:20" ht="84" customHeight="1">
      <c r="B63" s="868"/>
      <c r="C63" s="42" t="s">
        <v>519</v>
      </c>
      <c r="D63" s="42">
        <v>99.8</v>
      </c>
      <c r="E63" s="42"/>
      <c r="F63" s="42"/>
      <c r="G63" s="234">
        <f t="shared" si="3"/>
        <v>99.8</v>
      </c>
      <c r="H63" s="231">
        <v>100.76</v>
      </c>
      <c r="I63" s="105">
        <v>106.3</v>
      </c>
      <c r="J63" s="105">
        <v>362.71</v>
      </c>
      <c r="K63" s="105">
        <v>96.7962085308057</v>
      </c>
      <c r="L63" s="105">
        <v>102.12</v>
      </c>
      <c r="M63" s="105">
        <v>348.5324232081912</v>
      </c>
      <c r="N63" s="105">
        <v>3384.3694885361556</v>
      </c>
      <c r="O63" s="105">
        <v>3070.3</v>
      </c>
      <c r="P63" s="105">
        <v>3.8811096433289296</v>
      </c>
      <c r="Q63" s="105">
        <v>14.69</v>
      </c>
      <c r="R63" s="105"/>
      <c r="S63" s="105"/>
      <c r="T63" s="84"/>
    </row>
    <row r="64" spans="2:20" ht="84" customHeight="1">
      <c r="B64" s="868"/>
      <c r="C64" s="42" t="s">
        <v>520</v>
      </c>
      <c r="D64" s="42">
        <v>73.4</v>
      </c>
      <c r="E64" s="42">
        <v>0.0027</v>
      </c>
      <c r="F64" s="42">
        <v>0.0003</v>
      </c>
      <c r="G64" s="234">
        <f t="shared" si="3"/>
        <v>73.54970000000002</v>
      </c>
      <c r="H64" s="231"/>
      <c r="I64" s="105"/>
      <c r="J64" s="105"/>
      <c r="K64" s="105"/>
      <c r="L64" s="105"/>
      <c r="M64" s="105"/>
      <c r="N64" s="105"/>
      <c r="O64" s="105"/>
      <c r="P64" s="105"/>
      <c r="Q64" s="105"/>
      <c r="R64" s="105"/>
      <c r="S64" s="105"/>
      <c r="T64" s="84"/>
    </row>
    <row r="65" spans="2:20" ht="84" customHeight="1">
      <c r="B65" s="868"/>
      <c r="C65" s="42" t="s">
        <v>521</v>
      </c>
      <c r="D65" s="42">
        <v>73.4</v>
      </c>
      <c r="E65" s="42">
        <v>0.004</v>
      </c>
      <c r="F65" s="42">
        <v>0.03</v>
      </c>
      <c r="G65" s="234">
        <f t="shared" si="3"/>
        <v>82.784</v>
      </c>
      <c r="H65" s="231"/>
      <c r="I65" s="105"/>
      <c r="J65" s="105"/>
      <c r="K65" s="105"/>
      <c r="L65" s="105"/>
      <c r="M65" s="105"/>
      <c r="N65" s="105"/>
      <c r="O65" s="105"/>
      <c r="P65" s="105"/>
      <c r="Q65" s="105"/>
      <c r="R65" s="105"/>
      <c r="S65" s="105"/>
      <c r="T65" s="84"/>
    </row>
    <row r="66" spans="2:20" ht="84" customHeight="1">
      <c r="B66" s="868"/>
      <c r="C66" s="42" t="s">
        <v>522</v>
      </c>
      <c r="D66" s="42">
        <v>73.4</v>
      </c>
      <c r="E66" s="42">
        <v>0.0002</v>
      </c>
      <c r="F66" s="42">
        <v>0.0004</v>
      </c>
      <c r="G66" s="234">
        <f t="shared" si="3"/>
        <v>73.5282</v>
      </c>
      <c r="H66" s="231">
        <v>74.01</v>
      </c>
      <c r="I66" s="105">
        <v>78.08</v>
      </c>
      <c r="J66" s="105">
        <v>266.41</v>
      </c>
      <c r="K66" s="105">
        <v>69.38388625592418</v>
      </c>
      <c r="L66" s="105">
        <v>73.2</v>
      </c>
      <c r="M66" s="105">
        <v>249.8293515358362</v>
      </c>
      <c r="N66" s="105" t="s">
        <v>381</v>
      </c>
      <c r="O66" s="105" t="s">
        <v>386</v>
      </c>
      <c r="P66" s="105">
        <v>2.6816380449141346</v>
      </c>
      <c r="Q66" s="105">
        <v>10.15</v>
      </c>
      <c r="R66" s="105"/>
      <c r="S66" s="105"/>
      <c r="T66" s="84"/>
    </row>
    <row r="67" spans="2:20" ht="84" customHeight="1">
      <c r="B67" s="868"/>
      <c r="C67" s="42" t="s">
        <v>523</v>
      </c>
      <c r="D67" s="42">
        <v>73.4</v>
      </c>
      <c r="E67" s="42">
        <v>0.0027</v>
      </c>
      <c r="F67" s="42">
        <v>0</v>
      </c>
      <c r="G67" s="234">
        <f t="shared" si="3"/>
        <v>73.45670000000001</v>
      </c>
      <c r="H67" s="231"/>
      <c r="I67" s="105"/>
      <c r="J67" s="105"/>
      <c r="K67" s="105"/>
      <c r="L67" s="105"/>
      <c r="M67" s="105"/>
      <c r="N67" s="105"/>
      <c r="O67" s="105"/>
      <c r="P67" s="105"/>
      <c r="Q67" s="105"/>
      <c r="R67" s="105"/>
      <c r="S67" s="105"/>
      <c r="T67" s="84"/>
    </row>
    <row r="68" spans="2:20" ht="51.75" customHeight="1">
      <c r="B68" s="868">
        <v>28</v>
      </c>
      <c r="C68" s="935" t="s">
        <v>524</v>
      </c>
      <c r="D68" s="42">
        <v>62.5</v>
      </c>
      <c r="E68" s="42"/>
      <c r="F68" s="42"/>
      <c r="G68" s="234">
        <f t="shared" si="3"/>
        <v>62.5</v>
      </c>
      <c r="H68" s="231">
        <v>63.2</v>
      </c>
      <c r="I68" s="105">
        <v>66.68</v>
      </c>
      <c r="J68" s="105">
        <v>227.5</v>
      </c>
      <c r="K68" s="105">
        <v>59.78199052132702</v>
      </c>
      <c r="L68" s="105">
        <v>63.07</v>
      </c>
      <c r="M68" s="105">
        <v>215.25597269624575</v>
      </c>
      <c r="N68" s="105"/>
      <c r="O68" s="105"/>
      <c r="P68" s="105">
        <v>1.535006605019815</v>
      </c>
      <c r="Q68" s="105">
        <v>5.81</v>
      </c>
      <c r="R68" s="105"/>
      <c r="S68" s="105"/>
      <c r="T68" s="84"/>
    </row>
    <row r="69" spans="2:20" ht="51.75" customHeight="1">
      <c r="B69" s="868">
        <v>39</v>
      </c>
      <c r="C69" s="940" t="s">
        <v>525</v>
      </c>
      <c r="D69" s="42">
        <v>55.9</v>
      </c>
      <c r="E69" s="42">
        <v>0.0027</v>
      </c>
      <c r="F69" s="42">
        <v>0.0001</v>
      </c>
      <c r="G69" s="234">
        <f t="shared" si="3"/>
        <v>55.9877</v>
      </c>
      <c r="H69" s="231">
        <v>56.06</v>
      </c>
      <c r="I69" s="105">
        <v>59.14</v>
      </c>
      <c r="J69" s="105">
        <v>201.8</v>
      </c>
      <c r="K69" s="105">
        <v>50.341232227488156</v>
      </c>
      <c r="L69" s="105">
        <v>53.11</v>
      </c>
      <c r="M69" s="105">
        <v>181.2627986348123</v>
      </c>
      <c r="N69" s="105"/>
      <c r="O69" s="105"/>
      <c r="P69" s="105"/>
      <c r="Q69" s="105"/>
      <c r="R69" s="105">
        <v>1.93</v>
      </c>
      <c r="S69" s="105">
        <v>54.7</v>
      </c>
      <c r="T69" s="84"/>
    </row>
    <row r="70" spans="2:20" ht="51.75" customHeight="1">
      <c r="B70" s="868"/>
      <c r="C70" s="42" t="s">
        <v>526</v>
      </c>
      <c r="D70" s="42">
        <v>55.9</v>
      </c>
      <c r="E70" s="42">
        <v>0.0014</v>
      </c>
      <c r="F70" s="42">
        <v>0.0001</v>
      </c>
      <c r="G70" s="234">
        <f t="shared" si="3"/>
        <v>55.9604</v>
      </c>
      <c r="H70" s="231">
        <v>56.06</v>
      </c>
      <c r="I70" s="105">
        <v>59.14</v>
      </c>
      <c r="J70" s="105">
        <v>201.8</v>
      </c>
      <c r="K70" s="105">
        <v>50.341232227488156</v>
      </c>
      <c r="L70" s="105">
        <v>53.11</v>
      </c>
      <c r="M70" s="105">
        <v>181.2627986348123</v>
      </c>
      <c r="N70" s="105"/>
      <c r="O70" s="105"/>
      <c r="P70" s="105"/>
      <c r="Q70" s="105"/>
      <c r="R70" s="105">
        <v>1.93</v>
      </c>
      <c r="S70" s="105">
        <v>54.7</v>
      </c>
      <c r="T70" s="84"/>
    </row>
    <row r="71" spans="2:20" ht="51.75" customHeight="1">
      <c r="B71" s="868"/>
      <c r="C71" s="42" t="s">
        <v>527</v>
      </c>
      <c r="D71" s="42">
        <v>55.9</v>
      </c>
      <c r="E71" s="42">
        <v>0.0027</v>
      </c>
      <c r="F71" s="42">
        <v>0</v>
      </c>
      <c r="G71" s="234">
        <f t="shared" si="3"/>
        <v>55.9567</v>
      </c>
      <c r="H71" s="231">
        <v>56.06</v>
      </c>
      <c r="I71" s="105">
        <v>59.14</v>
      </c>
      <c r="J71" s="105">
        <v>201.8</v>
      </c>
      <c r="K71" s="105">
        <v>50.341232227488156</v>
      </c>
      <c r="L71" s="105">
        <v>53.11</v>
      </c>
      <c r="M71" s="105">
        <v>181.2627986348123</v>
      </c>
      <c r="N71" s="105"/>
      <c r="O71" s="105"/>
      <c r="P71" s="105"/>
      <c r="Q71" s="105"/>
      <c r="R71" s="105">
        <v>1.93</v>
      </c>
      <c r="S71" s="105">
        <v>54.7</v>
      </c>
      <c r="T71" s="84"/>
    </row>
    <row r="72" spans="2:20" ht="51.75" customHeight="1">
      <c r="B72" s="868"/>
      <c r="C72" s="42" t="s">
        <v>530</v>
      </c>
      <c r="D72" s="42">
        <v>55.9</v>
      </c>
      <c r="E72" s="42">
        <v>0.0006</v>
      </c>
      <c r="F72" s="42">
        <v>0.0001</v>
      </c>
      <c r="G72" s="234">
        <f t="shared" si="3"/>
        <v>55.943599999999996</v>
      </c>
      <c r="H72" s="231">
        <v>56.06</v>
      </c>
      <c r="I72" s="105">
        <v>59.14</v>
      </c>
      <c r="J72" s="105">
        <v>201.8</v>
      </c>
      <c r="K72" s="105">
        <v>50.341232227488156</v>
      </c>
      <c r="L72" s="105">
        <v>53.11</v>
      </c>
      <c r="M72" s="105">
        <v>181.2627986348123</v>
      </c>
      <c r="N72" s="105"/>
      <c r="O72" s="105"/>
      <c r="P72" s="105"/>
      <c r="Q72" s="105"/>
      <c r="R72" s="105">
        <v>1.93</v>
      </c>
      <c r="S72" s="105">
        <v>54.7</v>
      </c>
      <c r="T72" s="84"/>
    </row>
    <row r="73" spans="2:20" ht="51.75" customHeight="1">
      <c r="B73" s="868"/>
      <c r="C73" s="42" t="s">
        <v>528</v>
      </c>
      <c r="D73" s="42">
        <v>55.9</v>
      </c>
      <c r="E73" s="42">
        <v>0.0029</v>
      </c>
      <c r="F73" s="42">
        <v>0.0001</v>
      </c>
      <c r="G73" s="234">
        <f t="shared" si="3"/>
        <v>55.991899999999994</v>
      </c>
      <c r="H73" s="231">
        <v>56.06</v>
      </c>
      <c r="I73" s="105">
        <v>59.14</v>
      </c>
      <c r="J73" s="105">
        <v>201.8</v>
      </c>
      <c r="K73" s="105">
        <v>50.341232227488156</v>
      </c>
      <c r="L73" s="105">
        <v>53.11</v>
      </c>
      <c r="M73" s="105">
        <v>181.2627986348123</v>
      </c>
      <c r="N73" s="105"/>
      <c r="O73" s="105"/>
      <c r="P73" s="105"/>
      <c r="Q73" s="105"/>
      <c r="R73" s="105"/>
      <c r="S73" s="105"/>
      <c r="T73" s="84"/>
    </row>
    <row r="74" spans="2:20" ht="51.75" customHeight="1">
      <c r="B74" s="868"/>
      <c r="C74" s="42" t="s">
        <v>532</v>
      </c>
      <c r="D74" s="42">
        <v>55.9</v>
      </c>
      <c r="E74" s="42">
        <v>0.017</v>
      </c>
      <c r="F74" s="42">
        <v>0.0001</v>
      </c>
      <c r="G74" s="234">
        <f t="shared" si="3"/>
        <v>56.288</v>
      </c>
      <c r="H74" s="231">
        <v>56.06</v>
      </c>
      <c r="I74" s="105">
        <v>59.14</v>
      </c>
      <c r="J74" s="105">
        <v>201.8</v>
      </c>
      <c r="K74" s="105">
        <v>50.341232227488156</v>
      </c>
      <c r="L74" s="105">
        <v>53.11</v>
      </c>
      <c r="M74" s="105">
        <v>181.2627986348123</v>
      </c>
      <c r="N74" s="105"/>
      <c r="O74" s="105"/>
      <c r="P74" s="105"/>
      <c r="Q74" s="105"/>
      <c r="R74" s="105"/>
      <c r="S74" s="105"/>
      <c r="T74" s="84"/>
    </row>
    <row r="75" spans="2:20" ht="51.75" customHeight="1">
      <c r="B75" s="868"/>
      <c r="C75" s="42" t="s">
        <v>529</v>
      </c>
      <c r="D75" s="42">
        <v>55.9</v>
      </c>
      <c r="E75" s="42">
        <v>0.013</v>
      </c>
      <c r="F75" s="42">
        <v>0.0001</v>
      </c>
      <c r="G75" s="234">
        <f t="shared" si="3"/>
        <v>56.204</v>
      </c>
      <c r="H75" s="231">
        <v>56.06</v>
      </c>
      <c r="I75" s="105">
        <v>59.14</v>
      </c>
      <c r="J75" s="105">
        <v>201.8</v>
      </c>
      <c r="K75" s="105">
        <v>50.341232227488156</v>
      </c>
      <c r="L75" s="105">
        <v>53.11</v>
      </c>
      <c r="M75" s="105">
        <v>181.2627986348123</v>
      </c>
      <c r="N75" s="105"/>
      <c r="O75" s="105"/>
      <c r="P75" s="105"/>
      <c r="Q75" s="105"/>
      <c r="R75" s="105"/>
      <c r="S75" s="105"/>
      <c r="T75" s="84"/>
    </row>
    <row r="76" spans="2:20" ht="51.75" customHeight="1">
      <c r="B76" s="868"/>
      <c r="C76" s="42" t="s">
        <v>531</v>
      </c>
      <c r="D76" s="42">
        <v>68.6</v>
      </c>
      <c r="E76" s="42">
        <v>0.13</v>
      </c>
      <c r="F76" s="42">
        <v>0.0004</v>
      </c>
      <c r="G76" s="234">
        <f t="shared" si="3"/>
        <v>71.454</v>
      </c>
      <c r="H76" s="231">
        <v>69.25</v>
      </c>
      <c r="I76" s="105">
        <v>73.06</v>
      </c>
      <c r="J76" s="105">
        <v>249.28</v>
      </c>
      <c r="K76" s="105">
        <v>67.2511848341232</v>
      </c>
      <c r="L76" s="105">
        <v>70.95</v>
      </c>
      <c r="M76" s="105">
        <v>242.15017064846418</v>
      </c>
      <c r="N76" s="105" t="s">
        <v>379</v>
      </c>
      <c r="O76" s="105" t="s">
        <v>384</v>
      </c>
      <c r="P76" s="105">
        <v>2.3434610303830907</v>
      </c>
      <c r="Q76" s="105">
        <v>8.87</v>
      </c>
      <c r="R76" s="105"/>
      <c r="S76" s="105"/>
      <c r="T76" s="84"/>
    </row>
    <row r="77" spans="2:20" ht="51.75" customHeight="1">
      <c r="B77" s="868"/>
      <c r="C77" s="42" t="s">
        <v>533</v>
      </c>
      <c r="D77" s="42">
        <v>68.6</v>
      </c>
      <c r="E77" s="42">
        <v>0.17</v>
      </c>
      <c r="F77" s="42">
        <v>0.0004</v>
      </c>
      <c r="G77" s="234">
        <f t="shared" si="3"/>
        <v>72.29399999999998</v>
      </c>
      <c r="H77" s="231">
        <v>69.25</v>
      </c>
      <c r="I77" s="105">
        <v>73.06</v>
      </c>
      <c r="J77" s="105">
        <v>249.28</v>
      </c>
      <c r="K77" s="105">
        <v>67.2511848341232</v>
      </c>
      <c r="L77" s="105">
        <v>70.95</v>
      </c>
      <c r="M77" s="105">
        <v>242.15017064846418</v>
      </c>
      <c r="N77" s="105" t="s">
        <v>379</v>
      </c>
      <c r="O77" s="105" t="s">
        <v>384</v>
      </c>
      <c r="P77" s="105">
        <v>2.3434610303830907</v>
      </c>
      <c r="Q77" s="105">
        <v>8.87</v>
      </c>
      <c r="R77" s="105"/>
      <c r="S77" s="105"/>
      <c r="T77" s="84"/>
    </row>
    <row r="78" spans="2:20" ht="51.75" customHeight="1">
      <c r="B78" s="87"/>
      <c r="C78" s="42" t="s">
        <v>534</v>
      </c>
      <c r="D78" s="42">
        <v>68.6</v>
      </c>
      <c r="E78" s="42">
        <v>0.05</v>
      </c>
      <c r="F78" s="42">
        <v>0.002</v>
      </c>
      <c r="G78" s="234">
        <f t="shared" si="3"/>
        <v>70.27</v>
      </c>
      <c r="H78" s="231">
        <v>69.25</v>
      </c>
      <c r="I78" s="105">
        <v>73.06</v>
      </c>
      <c r="J78" s="105">
        <v>249.28</v>
      </c>
      <c r="K78" s="105">
        <v>67.2511848341232</v>
      </c>
      <c r="L78" s="105">
        <v>70.95</v>
      </c>
      <c r="M78" s="105">
        <v>242.15017064846418</v>
      </c>
      <c r="N78" s="105" t="s">
        <v>379</v>
      </c>
      <c r="O78" s="105" t="s">
        <v>384</v>
      </c>
      <c r="P78" s="105">
        <v>2.3434610303830907</v>
      </c>
      <c r="Q78" s="105">
        <v>8.87</v>
      </c>
      <c r="R78" s="105"/>
      <c r="S78" s="105"/>
      <c r="T78" s="84"/>
    </row>
    <row r="79" spans="2:20" ht="51.75" customHeight="1">
      <c r="B79" s="87"/>
      <c r="C79" s="936" t="s">
        <v>537</v>
      </c>
      <c r="D79" s="162">
        <v>73.28</v>
      </c>
      <c r="E79" s="161"/>
      <c r="F79" s="161"/>
      <c r="G79" s="234">
        <f t="shared" si="3"/>
        <v>73.28</v>
      </c>
      <c r="H79" s="231">
        <v>73.28</v>
      </c>
      <c r="I79" s="105">
        <v>77.31</v>
      </c>
      <c r="J79" s="105">
        <v>263.86</v>
      </c>
      <c r="K79" s="105" t="s">
        <v>389</v>
      </c>
      <c r="L79" s="105" t="s">
        <v>390</v>
      </c>
      <c r="M79" s="105" t="s">
        <v>391</v>
      </c>
      <c r="N79" s="105" t="s">
        <v>383</v>
      </c>
      <c r="O79" s="105" t="s">
        <v>388</v>
      </c>
      <c r="P79" s="105"/>
      <c r="Q79" s="105"/>
      <c r="R79" s="105"/>
      <c r="S79" s="105"/>
      <c r="T79" s="84"/>
    </row>
    <row r="80" spans="2:20" ht="51.75" customHeight="1">
      <c r="B80" s="87"/>
      <c r="C80" s="935" t="s">
        <v>535</v>
      </c>
      <c r="D80" s="162">
        <v>62.99</v>
      </c>
      <c r="E80" s="42"/>
      <c r="F80" s="42"/>
      <c r="G80" s="235">
        <v>62.99</v>
      </c>
      <c r="H80" s="231" t="s">
        <v>394</v>
      </c>
      <c r="I80" s="105" t="s">
        <v>398</v>
      </c>
      <c r="J80" s="105" t="s">
        <v>401</v>
      </c>
      <c r="K80" s="105">
        <v>59.83886255924171</v>
      </c>
      <c r="L80" s="105">
        <v>63.13</v>
      </c>
      <c r="M80" s="105">
        <v>215.46075085324233</v>
      </c>
      <c r="N80" s="105"/>
      <c r="O80" s="105"/>
      <c r="P80" s="105">
        <v>1.5191545574636722</v>
      </c>
      <c r="Q80" s="105">
        <v>5.75</v>
      </c>
      <c r="R80" s="105"/>
      <c r="S80" s="105"/>
      <c r="T80" s="84"/>
    </row>
    <row r="81" spans="2:20" ht="51.75" customHeight="1">
      <c r="B81" s="87"/>
      <c r="C81" s="935" t="s">
        <v>536</v>
      </c>
      <c r="D81" s="42">
        <v>71.2</v>
      </c>
      <c r="E81" s="42"/>
      <c r="F81" s="42"/>
      <c r="G81" s="234">
        <f>D81+21*E81+310*F81</f>
        <v>71.2</v>
      </c>
      <c r="H81" s="231">
        <v>71.45</v>
      </c>
      <c r="I81" s="105">
        <v>75.38</v>
      </c>
      <c r="J81" s="105">
        <v>257.2</v>
      </c>
      <c r="K81" s="105">
        <v>68.58767772511848</v>
      </c>
      <c r="L81" s="105">
        <v>72.36</v>
      </c>
      <c r="M81" s="105">
        <v>246.96245733788396</v>
      </c>
      <c r="N81" s="105" t="s">
        <v>380</v>
      </c>
      <c r="O81" s="105" t="s">
        <v>385</v>
      </c>
      <c r="P81" s="105">
        <v>2.581241743725231</v>
      </c>
      <c r="Q81" s="105">
        <v>9.77</v>
      </c>
      <c r="R81" s="105"/>
      <c r="S81" s="105"/>
      <c r="T81" s="84"/>
    </row>
    <row r="82" spans="2:20" ht="45.75" customHeight="1">
      <c r="B82" s="87"/>
      <c r="C82" s="119" t="s">
        <v>19</v>
      </c>
      <c r="D82" s="93"/>
      <c r="E82" s="147"/>
      <c r="F82" s="147"/>
      <c r="G82" s="147"/>
      <c r="H82" s="1116" t="s">
        <v>203</v>
      </c>
      <c r="I82" s="1116"/>
      <c r="J82" s="1116"/>
      <c r="K82" s="1116"/>
      <c r="L82" s="1116"/>
      <c r="M82" s="1116"/>
      <c r="N82" s="109"/>
      <c r="O82" s="109"/>
      <c r="P82" s="109"/>
      <c r="Q82" s="109"/>
      <c r="R82" s="109"/>
      <c r="S82" s="206"/>
      <c r="T82" s="56"/>
    </row>
    <row r="83" spans="2:20" ht="12.75">
      <c r="B83" s="87"/>
      <c r="C83" s="119" t="s">
        <v>539</v>
      </c>
      <c r="D83" s="93"/>
      <c r="E83" s="147"/>
      <c r="F83" s="147"/>
      <c r="G83" s="147"/>
      <c r="H83" s="167" t="s">
        <v>204</v>
      </c>
      <c r="I83" s="109"/>
      <c r="J83" s="109"/>
      <c r="K83" s="109"/>
      <c r="L83" s="109"/>
      <c r="M83" s="109"/>
      <c r="N83" s="109"/>
      <c r="O83" s="109"/>
      <c r="P83" s="109"/>
      <c r="Q83" s="109"/>
      <c r="R83" s="109"/>
      <c r="S83" s="206"/>
      <c r="T83" s="56"/>
    </row>
    <row r="84" spans="2:20" ht="18" customHeight="1">
      <c r="B84" s="87"/>
      <c r="C84" s="938" t="s">
        <v>540</v>
      </c>
      <c r="D84" s="1118" t="s">
        <v>542</v>
      </c>
      <c r="E84" s="1118"/>
      <c r="F84" s="1118"/>
      <c r="G84" s="1118"/>
      <c r="H84" s="167" t="s">
        <v>205</v>
      </c>
      <c r="I84" s="939"/>
      <c r="J84" s="939"/>
      <c r="K84" s="939"/>
      <c r="L84" s="167"/>
      <c r="M84" s="109"/>
      <c r="N84" s="109"/>
      <c r="O84" s="109"/>
      <c r="P84" s="109"/>
      <c r="Q84" s="109"/>
      <c r="R84" s="109"/>
      <c r="S84" s="206"/>
      <c r="T84" s="56"/>
    </row>
    <row r="85" spans="2:20" ht="18" customHeight="1">
      <c r="B85" s="87"/>
      <c r="C85" s="93"/>
      <c r="D85" s="1118" t="s">
        <v>541</v>
      </c>
      <c r="E85" s="1118"/>
      <c r="F85" s="1118"/>
      <c r="G85" s="1118"/>
      <c r="H85" s="1117" t="s">
        <v>206</v>
      </c>
      <c r="I85" s="1117"/>
      <c r="J85" s="1117"/>
      <c r="K85" s="1117"/>
      <c r="L85" s="1117"/>
      <c r="M85" s="1117"/>
      <c r="N85" s="1117"/>
      <c r="O85" s="1117"/>
      <c r="P85" s="109"/>
      <c r="Q85" s="109"/>
      <c r="R85" s="109"/>
      <c r="S85" s="206"/>
      <c r="T85" s="56"/>
    </row>
    <row r="86" spans="2:20" ht="18" customHeight="1">
      <c r="B86" s="87"/>
      <c r="C86" s="93"/>
      <c r="D86" s="1118" t="s">
        <v>543</v>
      </c>
      <c r="E86" s="1118"/>
      <c r="F86" s="1118"/>
      <c r="G86" s="1118"/>
      <c r="H86" s="607"/>
      <c r="I86" s="939"/>
      <c r="J86" s="167"/>
      <c r="K86" s="167"/>
      <c r="L86" s="167"/>
      <c r="M86" s="109"/>
      <c r="N86" s="109"/>
      <c r="O86" s="109"/>
      <c r="P86" s="109"/>
      <c r="Q86" s="109"/>
      <c r="R86" s="109"/>
      <c r="S86" s="206"/>
      <c r="T86" s="56"/>
    </row>
    <row r="87" spans="2:20" ht="18" customHeight="1">
      <c r="B87" s="87"/>
      <c r="C87" s="93"/>
      <c r="D87" s="607" t="s">
        <v>544</v>
      </c>
      <c r="E87" s="937"/>
      <c r="F87" s="937"/>
      <c r="G87" s="937"/>
      <c r="H87" s="607"/>
      <c r="I87" s="939"/>
      <c r="J87" s="167"/>
      <c r="K87" s="167"/>
      <c r="L87" s="167"/>
      <c r="M87" s="109"/>
      <c r="N87" s="109"/>
      <c r="O87" s="109"/>
      <c r="P87" s="109"/>
      <c r="Q87" s="109"/>
      <c r="R87" s="109"/>
      <c r="S87" s="206"/>
      <c r="T87" s="56"/>
    </row>
    <row r="88" spans="2:20" ht="18" customHeight="1">
      <c r="B88" s="87"/>
      <c r="C88" s="93"/>
      <c r="D88" s="1111" t="s">
        <v>201</v>
      </c>
      <c r="E88" s="1111"/>
      <c r="F88" s="1111"/>
      <c r="G88" s="1111"/>
      <c r="H88" s="607"/>
      <c r="I88" s="939"/>
      <c r="J88" s="939"/>
      <c r="K88" s="939"/>
      <c r="L88" s="167"/>
      <c r="M88" s="109"/>
      <c r="N88" s="109"/>
      <c r="O88" s="109"/>
      <c r="P88" s="109"/>
      <c r="Q88" s="109"/>
      <c r="R88" s="109"/>
      <c r="S88" s="206"/>
      <c r="T88" s="56"/>
    </row>
    <row r="89" spans="2:20" ht="18" customHeight="1">
      <c r="B89" s="87"/>
      <c r="C89" s="93"/>
      <c r="D89" s="607" t="s">
        <v>202</v>
      </c>
      <c r="E89" s="607"/>
      <c r="F89" s="607"/>
      <c r="G89" s="607"/>
      <c r="H89" s="607"/>
      <c r="I89" s="939"/>
      <c r="J89" s="939"/>
      <c r="K89" s="939"/>
      <c r="L89" s="167"/>
      <c r="M89" s="109"/>
      <c r="N89" s="109"/>
      <c r="O89" s="109"/>
      <c r="P89" s="109"/>
      <c r="Q89" s="109"/>
      <c r="R89" s="109"/>
      <c r="S89" s="206"/>
      <c r="T89" s="56"/>
    </row>
    <row r="90" spans="2:20" ht="18" customHeight="1" thickBot="1">
      <c r="B90" s="90"/>
      <c r="C90" s="91"/>
      <c r="D90" s="91"/>
      <c r="E90" s="148"/>
      <c r="F90" s="148"/>
      <c r="G90" s="148"/>
      <c r="H90" s="148"/>
      <c r="I90" s="91"/>
      <c r="J90" s="91"/>
      <c r="K90" s="91"/>
      <c r="L90" s="91"/>
      <c r="M90" s="91"/>
      <c r="N90" s="91"/>
      <c r="O90" s="91"/>
      <c r="P90" s="91"/>
      <c r="Q90" s="91"/>
      <c r="R90" s="91"/>
      <c r="S90" s="79"/>
      <c r="T90" s="75"/>
    </row>
    <row r="91" ht="13.5" thickTop="1"/>
  </sheetData>
  <mergeCells count="21">
    <mergeCell ref="C5:L5"/>
    <mergeCell ref="I39:J39"/>
    <mergeCell ref="I40:J40"/>
    <mergeCell ref="B12:C12"/>
    <mergeCell ref="E16:G16"/>
    <mergeCell ref="H16:I16"/>
    <mergeCell ref="I38:J38"/>
    <mergeCell ref="I37:J37"/>
    <mergeCell ref="D47:G47"/>
    <mergeCell ref="D45:G46"/>
    <mergeCell ref="F17:G17"/>
    <mergeCell ref="A1:T1"/>
    <mergeCell ref="D88:G88"/>
    <mergeCell ref="H46:S46"/>
    <mergeCell ref="C18:D18"/>
    <mergeCell ref="H82:M82"/>
    <mergeCell ref="H85:O85"/>
    <mergeCell ref="D84:G84"/>
    <mergeCell ref="D86:G86"/>
    <mergeCell ref="D85:G85"/>
    <mergeCell ref="J16:K16"/>
  </mergeCells>
  <printOptions horizontalCentered="1" verticalCentered="1"/>
  <pageMargins left="0.33" right="0.39" top="0.52" bottom="0.38" header="0.5" footer="0.5"/>
  <pageSetup horizontalDpi="600" verticalDpi="600" orientation="landscape" scale="35" r:id="rId3"/>
  <colBreaks count="1" manualBreakCount="1">
    <brk id="13" min="44" max="135" man="1"/>
  </colBreaks>
  <legacyDrawing r:id="rId2"/>
</worksheet>
</file>

<file path=xl/worksheets/sheet6.xml><?xml version="1.0" encoding="utf-8"?>
<worksheet xmlns="http://schemas.openxmlformats.org/spreadsheetml/2006/main" xmlns:r="http://schemas.openxmlformats.org/officeDocument/2006/relationships">
  <sheetPr codeName="Hoja7"/>
  <dimension ref="A1:T53"/>
  <sheetViews>
    <sheetView zoomScale="75" zoomScaleNormal="75" workbookViewId="0" topLeftCell="A1">
      <selection activeCell="I14" sqref="I14"/>
    </sheetView>
  </sheetViews>
  <sheetFormatPr defaultColWidth="11.421875" defaultRowHeight="12.75"/>
  <cols>
    <col min="1" max="1" width="3.28125" style="4" customWidth="1"/>
    <col min="2" max="2" width="2.7109375" style="4" customWidth="1"/>
    <col min="3" max="3" width="41.28125" style="4" customWidth="1"/>
    <col min="4" max="4" width="57.421875" style="133" customWidth="1"/>
    <col min="5" max="5" width="14.57421875" style="133" customWidth="1"/>
    <col min="6" max="6" width="14.8515625" style="133" customWidth="1"/>
    <col min="7" max="7" width="12.8515625" style="133" customWidth="1"/>
    <col min="8" max="9" width="10.8515625" style="4" customWidth="1"/>
    <col min="10" max="10" width="14.8515625" style="4" customWidth="1"/>
    <col min="11" max="11" width="13.421875" style="4" customWidth="1"/>
    <col min="12" max="12" width="3.421875" style="4" customWidth="1"/>
    <col min="13" max="16384" width="9.7109375" style="4" customWidth="1"/>
  </cols>
  <sheetData>
    <row r="1" spans="1:20" ht="13.5" customHeight="1">
      <c r="A1" s="1110" t="s">
        <v>46</v>
      </c>
      <c r="B1" s="1110"/>
      <c r="C1" s="1110"/>
      <c r="D1" s="1110"/>
      <c r="E1" s="1110"/>
      <c r="F1" s="1110"/>
      <c r="G1" s="1110"/>
      <c r="H1" s="1110"/>
      <c r="I1" s="1110"/>
      <c r="J1" s="1110"/>
      <c r="K1" s="1110"/>
      <c r="L1" s="1110"/>
      <c r="M1" s="1110"/>
      <c r="N1" s="1110"/>
      <c r="O1" s="1110"/>
      <c r="P1" s="1110"/>
      <c r="Q1" s="1110"/>
      <c r="R1" s="1110"/>
      <c r="S1" s="1110"/>
      <c r="T1" s="1110"/>
    </row>
    <row r="2" spans="1:7" ht="12.75">
      <c r="A2" s="941"/>
      <c r="B2" s="1"/>
      <c r="C2" s="1"/>
      <c r="D2" s="159"/>
      <c r="E2" s="159"/>
      <c r="F2" s="159"/>
      <c r="G2" s="159"/>
    </row>
    <row r="3" spans="2:12" ht="30" customHeight="1" thickBot="1">
      <c r="B3" s="1136" t="s">
        <v>268</v>
      </c>
      <c r="C3" s="1136"/>
      <c r="D3" s="1136"/>
      <c r="E3" s="1136"/>
      <c r="F3" s="1136"/>
      <c r="G3" s="1136"/>
      <c r="H3" s="1136"/>
      <c r="I3" s="1136"/>
      <c r="J3" s="1136"/>
      <c r="K3" s="1136"/>
      <c r="L3" s="1136"/>
    </row>
    <row r="4" spans="3:5" ht="18" customHeight="1" thickTop="1">
      <c r="C4" s="618" t="s">
        <v>207</v>
      </c>
      <c r="D4" s="614"/>
      <c r="E4" s="615"/>
    </row>
    <row r="5" spans="3:12" ht="18" customHeight="1">
      <c r="C5" s="992" t="s">
        <v>447</v>
      </c>
      <c r="D5" s="801" t="s">
        <v>158</v>
      </c>
      <c r="E5" s="616"/>
      <c r="F5" s="159"/>
      <c r="G5" s="159"/>
      <c r="H5" s="1"/>
      <c r="I5" s="1"/>
      <c r="J5" s="1"/>
      <c r="K5" s="1"/>
      <c r="L5" s="1"/>
    </row>
    <row r="6" spans="3:12" ht="18" customHeight="1">
      <c r="C6" s="992" t="s">
        <v>448</v>
      </c>
      <c r="D6" s="151"/>
      <c r="E6" s="616"/>
      <c r="F6" s="159"/>
      <c r="G6" s="159"/>
      <c r="H6" s="1"/>
      <c r="I6" s="1"/>
      <c r="J6" s="1"/>
      <c r="K6" s="1"/>
      <c r="L6" s="1"/>
    </row>
    <row r="7" spans="3:12" ht="18" customHeight="1">
      <c r="C7" s="992" t="s">
        <v>449</v>
      </c>
      <c r="D7" s="152"/>
      <c r="E7" s="616"/>
      <c r="F7" s="159"/>
      <c r="G7" s="159"/>
      <c r="H7" s="1"/>
      <c r="I7" s="1"/>
      <c r="J7" s="1"/>
      <c r="K7" s="1"/>
      <c r="L7" s="1"/>
    </row>
    <row r="8" spans="2:12" ht="18" customHeight="1" thickBot="1">
      <c r="B8" s="19"/>
      <c r="C8" s="619" t="s">
        <v>162</v>
      </c>
      <c r="D8" s="995"/>
      <c r="E8" s="994"/>
      <c r="F8" s="159"/>
      <c r="G8" s="159"/>
      <c r="H8" s="1"/>
      <c r="I8" s="1"/>
      <c r="J8" s="1"/>
      <c r="K8" s="1"/>
      <c r="L8" s="1"/>
    </row>
    <row r="9" spans="2:12" ht="18" customHeight="1" thickBot="1" thickTop="1">
      <c r="B9" s="19"/>
      <c r="C9" s="19"/>
      <c r="D9" s="134"/>
      <c r="E9" s="149"/>
      <c r="F9" s="159"/>
      <c r="G9" s="159"/>
      <c r="H9" s="1"/>
      <c r="I9" s="1"/>
      <c r="J9" s="1"/>
      <c r="K9" s="1"/>
      <c r="L9" s="1"/>
    </row>
    <row r="10" spans="2:12" ht="18" customHeight="1" thickTop="1">
      <c r="B10" s="52"/>
      <c r="C10" s="53"/>
      <c r="D10" s="135"/>
      <c r="E10" s="1139"/>
      <c r="F10" s="1139"/>
      <c r="G10" s="1139"/>
      <c r="H10" s="1139"/>
      <c r="I10" s="1139"/>
      <c r="J10" s="1139"/>
      <c r="K10" s="1139"/>
      <c r="L10" s="54"/>
    </row>
    <row r="11" spans="2:12" ht="18" customHeight="1">
      <c r="B11" s="55"/>
      <c r="C11" s="63"/>
      <c r="D11" s="802"/>
      <c r="E11" s="1119" t="s">
        <v>469</v>
      </c>
      <c r="F11" s="1120"/>
      <c r="G11" s="17" t="s">
        <v>470</v>
      </c>
      <c r="H11" s="17" t="s">
        <v>471</v>
      </c>
      <c r="I11" s="17" t="s">
        <v>156</v>
      </c>
      <c r="J11" s="1119" t="s">
        <v>157</v>
      </c>
      <c r="K11" s="1120"/>
      <c r="L11" s="69"/>
    </row>
    <row r="12" spans="2:12" ht="18" customHeight="1">
      <c r="B12" s="55"/>
      <c r="C12" s="123"/>
      <c r="D12" s="802"/>
      <c r="E12" s="154" t="s">
        <v>409</v>
      </c>
      <c r="F12" s="154" t="s">
        <v>410</v>
      </c>
      <c r="G12" s="3" t="s">
        <v>378</v>
      </c>
      <c r="H12" s="116" t="s">
        <v>411</v>
      </c>
      <c r="I12" s="116" t="s">
        <v>412</v>
      </c>
      <c r="J12" s="117" t="s">
        <v>413</v>
      </c>
      <c r="K12" s="118" t="s">
        <v>415</v>
      </c>
      <c r="L12" s="70"/>
    </row>
    <row r="13" spans="2:12" ht="77.25" customHeight="1">
      <c r="B13" s="65"/>
      <c r="C13" s="1114" t="s">
        <v>160</v>
      </c>
      <c r="D13" s="1115"/>
      <c r="E13" s="155" t="s">
        <v>511</v>
      </c>
      <c r="F13" s="155" t="s">
        <v>163</v>
      </c>
      <c r="G13" s="155" t="s">
        <v>251</v>
      </c>
      <c r="H13" s="5" t="s">
        <v>110</v>
      </c>
      <c r="I13" s="5" t="s">
        <v>111</v>
      </c>
      <c r="J13" s="5" t="s">
        <v>112</v>
      </c>
      <c r="K13" s="8" t="s">
        <v>155</v>
      </c>
      <c r="L13" s="71"/>
    </row>
    <row r="14" spans="2:12" ht="27" customHeight="1">
      <c r="B14" s="55"/>
      <c r="C14" s="63"/>
      <c r="D14" s="802"/>
      <c r="E14" s="156"/>
      <c r="F14" s="156"/>
      <c r="G14" s="177" t="s">
        <v>498</v>
      </c>
      <c r="H14" s="8" t="s">
        <v>500</v>
      </c>
      <c r="I14" s="8" t="s">
        <v>499</v>
      </c>
      <c r="J14" s="8" t="s">
        <v>501</v>
      </c>
      <c r="K14" s="124" t="s">
        <v>502</v>
      </c>
      <c r="L14" s="71"/>
    </row>
    <row r="15" spans="2:12" ht="18" customHeight="1">
      <c r="B15" s="55"/>
      <c r="C15" s="877" t="s">
        <v>159</v>
      </c>
      <c r="D15" s="181" t="s">
        <v>460</v>
      </c>
      <c r="E15" s="803">
        <v>100000</v>
      </c>
      <c r="F15" s="845">
        <f>'Direct - Fuel Combust.'!F20</f>
        <v>0.0339</v>
      </c>
      <c r="G15" s="845">
        <f>E15*F15</f>
        <v>3390</v>
      </c>
      <c r="H15" s="845">
        <v>0.0027</v>
      </c>
      <c r="I15" s="845">
        <v>0.0001</v>
      </c>
      <c r="J15" s="845">
        <f>G15*H15/1000</f>
        <v>0.009153</v>
      </c>
      <c r="K15" s="845">
        <f>G15*I15/1000</f>
        <v>0.000339</v>
      </c>
      <c r="L15" s="73"/>
    </row>
    <row r="16" spans="2:12" ht="36" customHeight="1">
      <c r="B16" s="80"/>
      <c r="C16" s="816" t="s">
        <v>164</v>
      </c>
      <c r="D16" s="805" t="s">
        <v>455</v>
      </c>
      <c r="E16" s="806"/>
      <c r="F16" s="807"/>
      <c r="G16" s="807"/>
      <c r="H16" s="808"/>
      <c r="I16" s="808"/>
      <c r="J16" s="808"/>
      <c r="K16" s="808"/>
      <c r="L16" s="72"/>
    </row>
    <row r="17" spans="2:12" ht="18" customHeight="1">
      <c r="B17" s="55"/>
      <c r="C17" s="828"/>
      <c r="D17" s="828"/>
      <c r="E17" s="829">
        <f>'Direct - Fuel Combust.'!E22</f>
        <v>0</v>
      </c>
      <c r="F17" s="1057">
        <f>'Direct - Fuel Combust.'!F22</f>
        <v>0</v>
      </c>
      <c r="G17" s="845">
        <f>E17*F17</f>
        <v>0</v>
      </c>
      <c r="H17" s="1040"/>
      <c r="I17" s="1040"/>
      <c r="J17" s="845">
        <f>G17*H17/1000</f>
        <v>0</v>
      </c>
      <c r="K17" s="845">
        <f>G17*I17/1000</f>
        <v>0</v>
      </c>
      <c r="L17" s="73"/>
    </row>
    <row r="18" spans="2:12" ht="18" customHeight="1">
      <c r="B18" s="55"/>
      <c r="C18" s="828"/>
      <c r="D18" s="828"/>
      <c r="E18" s="829">
        <f>'Direct - Fuel Combust.'!E23</f>
        <v>0</v>
      </c>
      <c r="F18" s="1057">
        <f>'Direct - Fuel Combust.'!F23</f>
        <v>0</v>
      </c>
      <c r="G18" s="845">
        <f aca="true" t="shared" si="0" ref="G18:G28">E18*F18</f>
        <v>0</v>
      </c>
      <c r="H18" s="1040"/>
      <c r="I18" s="1040"/>
      <c r="J18" s="845">
        <f aca="true" t="shared" si="1" ref="J18:J36">G18*H18/1000</f>
        <v>0</v>
      </c>
      <c r="K18" s="845">
        <f aca="true" t="shared" si="2" ref="K18:K36">G18*I18/1000</f>
        <v>0</v>
      </c>
      <c r="L18" s="73"/>
    </row>
    <row r="19" spans="2:12" ht="18" customHeight="1">
      <c r="B19" s="55"/>
      <c r="C19" s="828"/>
      <c r="D19" s="828"/>
      <c r="E19" s="829">
        <f>'Direct - Fuel Combust.'!E24</f>
        <v>0</v>
      </c>
      <c r="F19" s="1057">
        <f>'Direct - Fuel Combust.'!F24</f>
        <v>0</v>
      </c>
      <c r="G19" s="845">
        <f t="shared" si="0"/>
        <v>0</v>
      </c>
      <c r="H19" s="1040"/>
      <c r="I19" s="1040"/>
      <c r="J19" s="845">
        <f t="shared" si="1"/>
        <v>0</v>
      </c>
      <c r="K19" s="845">
        <f t="shared" si="2"/>
        <v>0</v>
      </c>
      <c r="L19" s="73"/>
    </row>
    <row r="20" spans="2:12" ht="18" customHeight="1">
      <c r="B20" s="55"/>
      <c r="C20" s="828"/>
      <c r="D20" s="828"/>
      <c r="E20" s="829">
        <f>'Direct - Fuel Combust.'!E25</f>
        <v>0</v>
      </c>
      <c r="F20" s="1057">
        <f>'Direct - Fuel Combust.'!F25</f>
        <v>0</v>
      </c>
      <c r="G20" s="845">
        <f t="shared" si="0"/>
        <v>0</v>
      </c>
      <c r="H20" s="1040"/>
      <c r="I20" s="1040"/>
      <c r="J20" s="845">
        <f t="shared" si="1"/>
        <v>0</v>
      </c>
      <c r="K20" s="845">
        <f t="shared" si="2"/>
        <v>0</v>
      </c>
      <c r="L20" s="73"/>
    </row>
    <row r="21" spans="2:12" ht="18" customHeight="1">
      <c r="B21" s="55"/>
      <c r="C21" s="828"/>
      <c r="D21" s="828"/>
      <c r="E21" s="829">
        <f>'Direct - Fuel Combust.'!E26</f>
        <v>0</v>
      </c>
      <c r="F21" s="1057">
        <f>'Direct - Fuel Combust.'!F26</f>
        <v>0</v>
      </c>
      <c r="G21" s="845">
        <f t="shared" si="0"/>
        <v>0</v>
      </c>
      <c r="H21" s="1040"/>
      <c r="I21" s="1040"/>
      <c r="J21" s="845">
        <f t="shared" si="1"/>
        <v>0</v>
      </c>
      <c r="K21" s="845">
        <f t="shared" si="2"/>
        <v>0</v>
      </c>
      <c r="L21" s="73"/>
    </row>
    <row r="22" spans="2:12" ht="18" customHeight="1">
      <c r="B22" s="55"/>
      <c r="C22" s="828"/>
      <c r="D22" s="828"/>
      <c r="E22" s="829">
        <f>'Direct - Fuel Combust.'!E27</f>
        <v>0</v>
      </c>
      <c r="F22" s="1057">
        <f>'Direct - Fuel Combust.'!F27</f>
        <v>0</v>
      </c>
      <c r="G22" s="845">
        <f t="shared" si="0"/>
        <v>0</v>
      </c>
      <c r="H22" s="1040"/>
      <c r="I22" s="1040"/>
      <c r="J22" s="845">
        <f t="shared" si="1"/>
        <v>0</v>
      </c>
      <c r="K22" s="845">
        <f t="shared" si="2"/>
        <v>0</v>
      </c>
      <c r="L22" s="73"/>
    </row>
    <row r="23" spans="2:12" ht="18" customHeight="1">
      <c r="B23" s="55"/>
      <c r="C23" s="828"/>
      <c r="D23" s="828"/>
      <c r="E23" s="829">
        <f>'Direct - Fuel Combust.'!E28</f>
        <v>0</v>
      </c>
      <c r="F23" s="1057">
        <f>'Direct - Fuel Combust.'!F28</f>
        <v>0</v>
      </c>
      <c r="G23" s="845">
        <f t="shared" si="0"/>
        <v>0</v>
      </c>
      <c r="H23" s="1040"/>
      <c r="I23" s="1040"/>
      <c r="J23" s="845">
        <f t="shared" si="1"/>
        <v>0</v>
      </c>
      <c r="K23" s="845">
        <f t="shared" si="2"/>
        <v>0</v>
      </c>
      <c r="L23" s="73"/>
    </row>
    <row r="24" spans="2:12" ht="18" customHeight="1">
      <c r="B24" s="55"/>
      <c r="C24" s="828"/>
      <c r="D24" s="828"/>
      <c r="E24" s="829">
        <f>'Direct - Fuel Combust.'!E29</f>
        <v>0</v>
      </c>
      <c r="F24" s="1057">
        <f>'Direct - Fuel Combust.'!F29</f>
        <v>0</v>
      </c>
      <c r="G24" s="845">
        <f t="shared" si="0"/>
        <v>0</v>
      </c>
      <c r="H24" s="1040"/>
      <c r="I24" s="1040"/>
      <c r="J24" s="845">
        <f t="shared" si="1"/>
        <v>0</v>
      </c>
      <c r="K24" s="845">
        <f t="shared" si="2"/>
        <v>0</v>
      </c>
      <c r="L24" s="73"/>
    </row>
    <row r="25" spans="2:12" ht="18" customHeight="1">
      <c r="B25" s="55"/>
      <c r="C25" s="828"/>
      <c r="D25" s="828"/>
      <c r="E25" s="829">
        <f>'Direct - Fuel Combust.'!E30</f>
        <v>0</v>
      </c>
      <c r="F25" s="1057">
        <f>'Direct - Fuel Combust.'!F30</f>
        <v>0</v>
      </c>
      <c r="G25" s="845">
        <f t="shared" si="0"/>
        <v>0</v>
      </c>
      <c r="H25" s="1040"/>
      <c r="I25" s="1040"/>
      <c r="J25" s="845">
        <f t="shared" si="1"/>
        <v>0</v>
      </c>
      <c r="K25" s="845">
        <f t="shared" si="2"/>
        <v>0</v>
      </c>
      <c r="L25" s="73"/>
    </row>
    <row r="26" spans="2:12" ht="18" customHeight="1">
      <c r="B26" s="55"/>
      <c r="C26" s="828"/>
      <c r="D26" s="828"/>
      <c r="E26" s="829">
        <f>'Direct - Fuel Combust.'!E31</f>
        <v>0</v>
      </c>
      <c r="F26" s="1057">
        <f>'Direct - Fuel Combust.'!F31</f>
        <v>0</v>
      </c>
      <c r="G26" s="845">
        <f t="shared" si="0"/>
        <v>0</v>
      </c>
      <c r="H26" s="1040"/>
      <c r="I26" s="1040"/>
      <c r="J26" s="845">
        <f t="shared" si="1"/>
        <v>0</v>
      </c>
      <c r="K26" s="845">
        <f t="shared" si="2"/>
        <v>0</v>
      </c>
      <c r="L26" s="73"/>
    </row>
    <row r="27" spans="2:12" ht="18" customHeight="1">
      <c r="B27" s="55"/>
      <c r="C27" s="828"/>
      <c r="D27" s="828"/>
      <c r="E27" s="829">
        <f>'Direct - Fuel Combust.'!E32</f>
        <v>0</v>
      </c>
      <c r="F27" s="1057">
        <f>'Direct - Fuel Combust.'!F32</f>
        <v>0</v>
      </c>
      <c r="G27" s="845">
        <f t="shared" si="0"/>
        <v>0</v>
      </c>
      <c r="H27" s="1040"/>
      <c r="I27" s="1040"/>
      <c r="J27" s="845">
        <f t="shared" si="1"/>
        <v>0</v>
      </c>
      <c r="K27" s="845">
        <f t="shared" si="2"/>
        <v>0</v>
      </c>
      <c r="L27" s="73"/>
    </row>
    <row r="28" spans="2:12" ht="18" customHeight="1">
      <c r="B28" s="55"/>
      <c r="C28" s="828"/>
      <c r="D28" s="828"/>
      <c r="E28" s="829">
        <f>'Direct - Fuel Combust.'!E33</f>
        <v>0</v>
      </c>
      <c r="F28" s="1057">
        <f>'Direct - Fuel Combust.'!F33</f>
        <v>0</v>
      </c>
      <c r="G28" s="845">
        <f t="shared" si="0"/>
        <v>0</v>
      </c>
      <c r="H28" s="1040"/>
      <c r="I28" s="1040"/>
      <c r="J28" s="845">
        <f t="shared" si="1"/>
        <v>0</v>
      </c>
      <c r="K28" s="845">
        <f t="shared" si="2"/>
        <v>0</v>
      </c>
      <c r="L28" s="73"/>
    </row>
    <row r="29" spans="2:12" ht="18" customHeight="1">
      <c r="B29" s="55"/>
      <c r="C29" s="828"/>
      <c r="D29" s="140" t="s">
        <v>211</v>
      </c>
      <c r="E29" s="829"/>
      <c r="F29" s="829"/>
      <c r="G29" s="829"/>
      <c r="H29" s="809"/>
      <c r="I29" s="809"/>
      <c r="J29" s="845">
        <f t="shared" si="1"/>
        <v>0</v>
      </c>
      <c r="K29" s="845">
        <f t="shared" si="2"/>
        <v>0</v>
      </c>
      <c r="L29" s="73"/>
    </row>
    <row r="30" spans="2:12" ht="18" customHeight="1">
      <c r="B30" s="55"/>
      <c r="C30" s="828"/>
      <c r="D30" s="140" t="s">
        <v>211</v>
      </c>
      <c r="E30" s="829"/>
      <c r="F30" s="829"/>
      <c r="G30" s="829"/>
      <c r="H30" s="809"/>
      <c r="I30" s="809"/>
      <c r="J30" s="845">
        <f t="shared" si="1"/>
        <v>0</v>
      </c>
      <c r="K30" s="845">
        <f t="shared" si="2"/>
        <v>0</v>
      </c>
      <c r="L30" s="73"/>
    </row>
    <row r="31" spans="2:12" ht="18" customHeight="1">
      <c r="B31" s="55"/>
      <c r="C31" s="828"/>
      <c r="D31" s="140" t="s">
        <v>211</v>
      </c>
      <c r="E31" s="829"/>
      <c r="F31" s="829"/>
      <c r="G31" s="829"/>
      <c r="H31" s="809"/>
      <c r="I31" s="809"/>
      <c r="J31" s="845">
        <f t="shared" si="1"/>
        <v>0</v>
      </c>
      <c r="K31" s="845">
        <f t="shared" si="2"/>
        <v>0</v>
      </c>
      <c r="L31" s="73"/>
    </row>
    <row r="32" spans="2:12" ht="18" customHeight="1">
      <c r="B32" s="55"/>
      <c r="C32" s="828"/>
      <c r="D32" s="140" t="s">
        <v>211</v>
      </c>
      <c r="E32" s="829"/>
      <c r="F32" s="829"/>
      <c r="G32" s="829"/>
      <c r="H32" s="809"/>
      <c r="I32" s="809"/>
      <c r="J32" s="845">
        <f t="shared" si="1"/>
        <v>0</v>
      </c>
      <c r="K32" s="845">
        <f t="shared" si="2"/>
        <v>0</v>
      </c>
      <c r="L32" s="73"/>
    </row>
    <row r="33" spans="2:12" ht="18" customHeight="1">
      <c r="B33" s="55"/>
      <c r="C33" s="828"/>
      <c r="D33" s="140" t="s">
        <v>211</v>
      </c>
      <c r="E33" s="829"/>
      <c r="F33" s="829"/>
      <c r="G33" s="829"/>
      <c r="H33" s="809"/>
      <c r="I33" s="809"/>
      <c r="J33" s="845">
        <f t="shared" si="1"/>
        <v>0</v>
      </c>
      <c r="K33" s="845">
        <f t="shared" si="2"/>
        <v>0</v>
      </c>
      <c r="L33" s="73"/>
    </row>
    <row r="34" spans="2:12" ht="18" customHeight="1">
      <c r="B34" s="55"/>
      <c r="C34" s="828"/>
      <c r="D34" s="140" t="s">
        <v>211</v>
      </c>
      <c r="E34" s="829"/>
      <c r="F34" s="829"/>
      <c r="G34" s="829"/>
      <c r="H34" s="809"/>
      <c r="I34" s="809"/>
      <c r="J34" s="845">
        <f t="shared" si="1"/>
        <v>0</v>
      </c>
      <c r="K34" s="845">
        <f t="shared" si="2"/>
        <v>0</v>
      </c>
      <c r="L34" s="73"/>
    </row>
    <row r="35" spans="2:12" ht="18" customHeight="1">
      <c r="B35" s="55"/>
      <c r="C35" s="828"/>
      <c r="D35" s="140" t="s">
        <v>211</v>
      </c>
      <c r="E35" s="829"/>
      <c r="F35" s="829"/>
      <c r="G35" s="829"/>
      <c r="H35" s="809"/>
      <c r="I35" s="809"/>
      <c r="J35" s="845">
        <f t="shared" si="1"/>
        <v>0</v>
      </c>
      <c r="K35" s="845">
        <f t="shared" si="2"/>
        <v>0</v>
      </c>
      <c r="L35" s="73"/>
    </row>
    <row r="36" spans="2:12" ht="18" customHeight="1">
      <c r="B36" s="55"/>
      <c r="C36" s="828"/>
      <c r="D36" s="140" t="s">
        <v>211</v>
      </c>
      <c r="E36" s="829"/>
      <c r="F36" s="829"/>
      <c r="G36" s="829"/>
      <c r="H36" s="809"/>
      <c r="I36" s="809"/>
      <c r="J36" s="845">
        <f t="shared" si="1"/>
        <v>0</v>
      </c>
      <c r="K36" s="845">
        <f t="shared" si="2"/>
        <v>0</v>
      </c>
      <c r="L36" s="73"/>
    </row>
    <row r="37" spans="2:12" ht="18" customHeight="1">
      <c r="B37" s="76"/>
      <c r="C37" s="810"/>
      <c r="D37" s="811"/>
      <c r="E37" s="811"/>
      <c r="F37" s="811"/>
      <c r="G37" s="811"/>
      <c r="H37" s="810"/>
      <c r="I37" s="810"/>
      <c r="J37" s="812"/>
      <c r="K37" s="812"/>
      <c r="L37" s="74"/>
    </row>
    <row r="38" spans="2:12" ht="18" customHeight="1">
      <c r="B38" s="76"/>
      <c r="C38" s="810"/>
      <c r="D38" s="811"/>
      <c r="E38" s="811"/>
      <c r="F38" s="1140" t="s">
        <v>348</v>
      </c>
      <c r="G38" s="1144"/>
      <c r="H38" s="1144"/>
      <c r="I38" s="1145"/>
      <c r="J38" s="846">
        <f>SUM(J17:J37)</f>
        <v>0</v>
      </c>
      <c r="K38" s="846">
        <f>SUM(K17:K37)</f>
        <v>0</v>
      </c>
      <c r="L38" s="74"/>
    </row>
    <row r="39" spans="2:12" ht="18" customHeight="1">
      <c r="B39" s="76"/>
      <c r="C39" s="810"/>
      <c r="D39" s="811"/>
      <c r="E39" s="811"/>
      <c r="F39" s="811"/>
      <c r="G39" s="811"/>
      <c r="H39" s="810"/>
      <c r="I39" s="810"/>
      <c r="J39" s="810"/>
      <c r="K39" s="810"/>
      <c r="L39" s="74"/>
    </row>
    <row r="40" spans="2:12" ht="18" customHeight="1">
      <c r="B40" s="76"/>
      <c r="C40" s="810"/>
      <c r="D40" s="811"/>
      <c r="E40" s="811"/>
      <c r="F40" s="1140" t="s">
        <v>161</v>
      </c>
      <c r="G40" s="1140"/>
      <c r="H40" s="1140"/>
      <c r="I40" s="1141"/>
      <c r="J40" s="813">
        <v>21</v>
      </c>
      <c r="K40" s="813">
        <v>310</v>
      </c>
      <c r="L40" s="74"/>
    </row>
    <row r="41" spans="2:12" ht="18" customHeight="1">
      <c r="B41" s="76"/>
      <c r="C41" s="810"/>
      <c r="D41" s="811"/>
      <c r="E41" s="1142" t="s">
        <v>349</v>
      </c>
      <c r="F41" s="1142"/>
      <c r="G41" s="1142"/>
      <c r="H41" s="1142"/>
      <c r="I41" s="1143"/>
      <c r="J41" s="846">
        <f>J38*J40</f>
        <v>0</v>
      </c>
      <c r="K41" s="846">
        <f>K38*K40</f>
        <v>0</v>
      </c>
      <c r="L41" s="74"/>
    </row>
    <row r="42" spans="2:12" ht="18" customHeight="1">
      <c r="B42" s="76"/>
      <c r="C42" s="810"/>
      <c r="D42" s="811"/>
      <c r="E42" s="1142" t="s">
        <v>350</v>
      </c>
      <c r="F42" s="1142"/>
      <c r="G42" s="1142"/>
      <c r="H42" s="1142"/>
      <c r="I42" s="1143"/>
      <c r="J42" s="1137">
        <f>J41+K41</f>
        <v>0</v>
      </c>
      <c r="K42" s="1138"/>
      <c r="L42" s="74"/>
    </row>
    <row r="43" spans="2:12" ht="18" customHeight="1" thickBot="1">
      <c r="B43" s="78"/>
      <c r="C43" s="79"/>
      <c r="D43" s="143"/>
      <c r="E43" s="143"/>
      <c r="F43" s="143"/>
      <c r="G43" s="143"/>
      <c r="H43" s="79"/>
      <c r="I43" s="79"/>
      <c r="J43" s="827"/>
      <c r="K43" s="827"/>
      <c r="L43" s="75"/>
    </row>
    <row r="44" spans="2:12" ht="18" customHeight="1" thickTop="1">
      <c r="B44" s="19"/>
      <c r="C44" s="19"/>
      <c r="D44" s="134"/>
      <c r="E44" s="149"/>
      <c r="F44" s="159"/>
      <c r="G44" s="159"/>
      <c r="H44" s="1"/>
      <c r="I44" s="1"/>
      <c r="J44" s="1"/>
      <c r="K44" s="1"/>
      <c r="L44" s="1"/>
    </row>
    <row r="45" spans="2:12" ht="18" customHeight="1">
      <c r="B45" s="19"/>
      <c r="D45" s="168"/>
      <c r="E45" s="168"/>
      <c r="F45" s="168"/>
      <c r="G45" s="168"/>
      <c r="H45" s="2"/>
      <c r="I45" s="2"/>
      <c r="J45" s="1"/>
      <c r="K45" s="1"/>
      <c r="L45" s="1"/>
    </row>
    <row r="46" spans="2:12" ht="18" customHeight="1">
      <c r="B46" s="19"/>
      <c r="C46" s="169"/>
      <c r="D46" s="169"/>
      <c r="E46" s="169"/>
      <c r="F46" s="169"/>
      <c r="G46" s="169"/>
      <c r="H46" s="814"/>
      <c r="I46" s="814"/>
      <c r="J46" s="1"/>
      <c r="K46" s="1"/>
      <c r="L46" s="1"/>
    </row>
    <row r="47" spans="3:7" ht="18" customHeight="1">
      <c r="C47" s="815"/>
      <c r="D47" s="815"/>
      <c r="E47" s="815"/>
      <c r="F47" s="815"/>
      <c r="G47" s="815"/>
    </row>
    <row r="48" spans="3:7" ht="18" customHeight="1">
      <c r="C48" s="815"/>
      <c r="D48" s="815"/>
      <c r="E48" s="815"/>
      <c r="F48" s="815"/>
      <c r="G48" s="815"/>
    </row>
    <row r="49" spans="3:7" ht="12.75">
      <c r="C49" s="815"/>
      <c r="D49" s="815"/>
      <c r="E49" s="815"/>
      <c r="F49" s="815"/>
      <c r="G49" s="815"/>
    </row>
    <row r="50" spans="3:7" ht="12.75">
      <c r="C50" s="815"/>
      <c r="D50" s="815"/>
      <c r="E50" s="815"/>
      <c r="F50" s="815"/>
      <c r="G50" s="815"/>
    </row>
    <row r="51" spans="3:7" ht="12.75">
      <c r="C51" s="815"/>
      <c r="D51" s="815"/>
      <c r="E51" s="815"/>
      <c r="F51" s="815"/>
      <c r="G51" s="815"/>
    </row>
    <row r="52" spans="3:7" ht="12.75">
      <c r="C52" s="815"/>
      <c r="D52" s="815"/>
      <c r="E52" s="815"/>
      <c r="F52" s="815"/>
      <c r="G52" s="815"/>
    </row>
    <row r="53" spans="3:7" ht="12.75">
      <c r="C53" s="815"/>
      <c r="D53" s="815"/>
      <c r="E53" s="815"/>
      <c r="F53" s="815"/>
      <c r="G53" s="815"/>
    </row>
  </sheetData>
  <mergeCells count="11">
    <mergeCell ref="F38:I38"/>
    <mergeCell ref="A1:T1"/>
    <mergeCell ref="B3:L3"/>
    <mergeCell ref="C13:D13"/>
    <mergeCell ref="J42:K42"/>
    <mergeCell ref="E10:K10"/>
    <mergeCell ref="E11:F11"/>
    <mergeCell ref="J11:K11"/>
    <mergeCell ref="F40:I40"/>
    <mergeCell ref="E41:I41"/>
    <mergeCell ref="E42:I42"/>
  </mergeCells>
  <conditionalFormatting sqref="E29:G36 E17:E28">
    <cfRule type="cellIs" priority="1" dxfId="0" operator="equal" stopIfTrue="1">
      <formula>0</formula>
    </cfRule>
  </conditionalFormatting>
  <printOptions/>
  <pageMargins left="0.75" right="0.75" top="1" bottom="1" header="0" footer="0"/>
  <pageSetup horizontalDpi="600" verticalDpi="600" orientation="landscape" r:id="rId2"/>
  <legacyDrawing r:id="rId1"/>
</worksheet>
</file>

<file path=xl/worksheets/sheet7.xml><?xml version="1.0" encoding="utf-8"?>
<worksheet xmlns="http://schemas.openxmlformats.org/spreadsheetml/2006/main" xmlns:r="http://schemas.openxmlformats.org/officeDocument/2006/relationships">
  <sheetPr codeName="Hoja6"/>
  <dimension ref="A2:T79"/>
  <sheetViews>
    <sheetView zoomScale="80" zoomScaleNormal="80" workbookViewId="0" topLeftCell="D1">
      <selection activeCell="E20" sqref="E20"/>
    </sheetView>
  </sheetViews>
  <sheetFormatPr defaultColWidth="11.421875" defaultRowHeight="12.75"/>
  <cols>
    <col min="3" max="3" width="41.7109375" style="0" customWidth="1"/>
    <col min="4" max="4" width="57.00390625" style="0" customWidth="1"/>
    <col min="5" max="5" width="12.8515625" style="0" customWidth="1"/>
    <col min="10" max="10" width="32.57421875" style="0" customWidth="1"/>
    <col min="11" max="11" width="14.00390625" style="0" customWidth="1"/>
  </cols>
  <sheetData>
    <row r="1" ht="5.25" customHeight="1"/>
    <row r="2" spans="1:20" s="4" customFormat="1" ht="13.5" customHeight="1">
      <c r="A2" s="1110" t="s">
        <v>42</v>
      </c>
      <c r="B2" s="1110"/>
      <c r="C2" s="1110"/>
      <c r="D2" s="1110"/>
      <c r="E2" s="1110"/>
      <c r="F2" s="1110"/>
      <c r="G2" s="1110"/>
      <c r="H2" s="1110"/>
      <c r="I2" s="1110"/>
      <c r="J2" s="1110"/>
      <c r="K2" s="1110"/>
      <c r="L2" s="1110"/>
      <c r="M2" s="1110"/>
      <c r="N2" s="1110"/>
      <c r="O2" s="1110"/>
      <c r="P2" s="1110"/>
      <c r="Q2" s="1110"/>
      <c r="R2" s="1110"/>
      <c r="S2" s="1110"/>
      <c r="T2" s="1110"/>
    </row>
    <row r="3" spans="1:13" s="4" customFormat="1" ht="12.75">
      <c r="A3" s="941"/>
      <c r="B3" s="1"/>
      <c r="C3" s="944"/>
      <c r="D3" s="1"/>
      <c r="E3" s="159"/>
      <c r="F3" s="159"/>
      <c r="G3" s="159"/>
      <c r="H3" s="159"/>
      <c r="I3" s="159"/>
      <c r="J3" s="159"/>
      <c r="K3" s="159"/>
      <c r="L3" s="159"/>
      <c r="M3" s="159"/>
    </row>
    <row r="4" spans="1:13" s="4" customFormat="1" ht="30">
      <c r="A4" s="1146" t="s">
        <v>225</v>
      </c>
      <c r="B4" s="1146"/>
      <c r="C4" s="1146"/>
      <c r="D4" s="1146"/>
      <c r="E4" s="1146"/>
      <c r="F4" s="1146"/>
      <c r="G4" s="1146"/>
      <c r="H4" s="1146"/>
      <c r="I4" s="1146"/>
      <c r="J4" s="1146"/>
      <c r="K4" s="1146"/>
      <c r="L4" s="1146"/>
      <c r="M4" s="133"/>
    </row>
    <row r="5" s="4" customFormat="1" ht="18" customHeight="1" thickBot="1">
      <c r="M5" s="133"/>
    </row>
    <row r="6" spans="1:12" s="4" customFormat="1" ht="22.5" customHeight="1" thickTop="1">
      <c r="A6" s="39"/>
      <c r="B6" s="618" t="s">
        <v>207</v>
      </c>
      <c r="C6" s="612"/>
      <c r="D6" s="821"/>
      <c r="F6" s="946"/>
      <c r="G6" s="946"/>
      <c r="H6" s="946"/>
      <c r="I6" s="946"/>
      <c r="J6" s="946"/>
      <c r="K6" s="946"/>
      <c r="L6" s="946"/>
    </row>
    <row r="7" spans="1:12" s="4" customFormat="1" ht="18" customHeight="1">
      <c r="A7" s="39"/>
      <c r="B7" s="992" t="s">
        <v>447</v>
      </c>
      <c r="C7" s="993"/>
      <c r="D7" s="822"/>
      <c r="F7" s="946"/>
      <c r="G7" s="946"/>
      <c r="H7" s="946"/>
      <c r="I7" s="946"/>
      <c r="J7" s="946"/>
      <c r="K7" s="946"/>
      <c r="L7" s="946"/>
    </row>
    <row r="8" spans="1:11" s="4" customFormat="1" ht="18" customHeight="1">
      <c r="A8" s="39"/>
      <c r="B8" s="992" t="s">
        <v>448</v>
      </c>
      <c r="C8" s="993"/>
      <c r="D8" s="823"/>
      <c r="F8" s="945"/>
      <c r="G8" s="945"/>
      <c r="H8" s="945"/>
      <c r="I8" s="945"/>
      <c r="J8" s="945"/>
      <c r="K8" s="1"/>
    </row>
    <row r="9" spans="1:4" s="4" customFormat="1" ht="18" customHeight="1" thickBot="1">
      <c r="A9" s="39"/>
      <c r="B9" s="992" t="s">
        <v>449</v>
      </c>
      <c r="C9" s="993"/>
      <c r="D9" s="824"/>
    </row>
    <row r="10" spans="1:12" s="4" customFormat="1" ht="18" customHeight="1" thickTop="1">
      <c r="A10" s="39"/>
      <c r="B10" s="1133" t="s">
        <v>446</v>
      </c>
      <c r="C10" s="1161"/>
      <c r="D10" s="825"/>
      <c r="F10" s="1147" t="s">
        <v>224</v>
      </c>
      <c r="G10" s="1148"/>
      <c r="H10" s="1148"/>
      <c r="I10" s="1148"/>
      <c r="J10" s="1148"/>
      <c r="K10" s="1148"/>
      <c r="L10" s="1149"/>
    </row>
    <row r="11" spans="2:19" s="4" customFormat="1" ht="18" customHeight="1" thickBot="1">
      <c r="B11" s="619"/>
      <c r="C11" s="555"/>
      <c r="D11" s="826"/>
      <c r="E11" s="1"/>
      <c r="F11" s="1150"/>
      <c r="G11" s="1151"/>
      <c r="H11" s="1151"/>
      <c r="I11" s="1151"/>
      <c r="J11" s="1151"/>
      <c r="K11" s="1151"/>
      <c r="L11" s="1152"/>
      <c r="M11" s="1"/>
      <c r="N11" s="1"/>
      <c r="O11" s="1"/>
      <c r="P11" s="1"/>
      <c r="Q11" s="1"/>
      <c r="R11" s="1"/>
      <c r="S11" s="1"/>
    </row>
    <row r="12" ht="14.25" thickBot="1" thickTop="1"/>
    <row r="13" spans="2:17" s="4" customFormat="1" ht="18" customHeight="1" thickTop="1">
      <c r="B13" s="221"/>
      <c r="C13" s="53"/>
      <c r="D13" s="135"/>
      <c r="E13" s="135"/>
      <c r="F13" s="135"/>
      <c r="G13" s="53"/>
      <c r="H13" s="53"/>
      <c r="I13" s="53"/>
      <c r="J13" s="53"/>
      <c r="K13" s="53"/>
      <c r="L13" s="54"/>
      <c r="M13" s="1"/>
      <c r="N13" s="1"/>
      <c r="O13" s="1"/>
      <c r="P13" s="1"/>
      <c r="Q13" s="1"/>
    </row>
    <row r="14" spans="2:17" s="4" customFormat="1" ht="18" customHeight="1">
      <c r="B14" s="55"/>
      <c r="C14" s="63"/>
      <c r="D14" s="136"/>
      <c r="E14" s="17" t="s">
        <v>469</v>
      </c>
      <c r="F14" s="1159" t="s">
        <v>470</v>
      </c>
      <c r="G14" s="1160"/>
      <c r="H14" s="1160"/>
      <c r="I14" s="1160"/>
      <c r="J14" s="1160"/>
      <c r="K14" s="3" t="s">
        <v>471</v>
      </c>
      <c r="L14" s="69"/>
      <c r="M14" s="1"/>
      <c r="N14" s="1"/>
      <c r="O14" s="1"/>
      <c r="P14" s="1"/>
      <c r="Q14" s="1"/>
    </row>
    <row r="15" spans="2:17" s="4" customFormat="1" ht="18" customHeight="1">
      <c r="B15" s="55"/>
      <c r="C15" s="63"/>
      <c r="D15" s="136"/>
      <c r="E15" s="154" t="s">
        <v>409</v>
      </c>
      <c r="F15" s="154" t="s">
        <v>410</v>
      </c>
      <c r="G15" s="3" t="s">
        <v>378</v>
      </c>
      <c r="H15" s="116" t="s">
        <v>411</v>
      </c>
      <c r="I15" s="117" t="s">
        <v>412</v>
      </c>
      <c r="J15" s="118" t="s">
        <v>413</v>
      </c>
      <c r="K15" s="818" t="s">
        <v>415</v>
      </c>
      <c r="L15" s="70"/>
      <c r="M15" s="1"/>
      <c r="N15" s="1"/>
      <c r="O15" s="1"/>
      <c r="P15" s="1"/>
      <c r="Q15" s="1"/>
    </row>
    <row r="16" spans="2:17" s="4" customFormat="1" ht="75" customHeight="1">
      <c r="B16" s="65"/>
      <c r="C16" s="1162" t="s">
        <v>226</v>
      </c>
      <c r="D16" s="1163"/>
      <c r="E16" s="155" t="s">
        <v>504</v>
      </c>
      <c r="F16" s="155" t="s">
        <v>507</v>
      </c>
      <c r="G16" s="5" t="s">
        <v>508</v>
      </c>
      <c r="H16" s="5" t="s">
        <v>509</v>
      </c>
      <c r="I16" s="5" t="s">
        <v>510</v>
      </c>
      <c r="J16" s="5" t="s">
        <v>503</v>
      </c>
      <c r="K16" s="8" t="s">
        <v>321</v>
      </c>
      <c r="L16" s="71"/>
      <c r="M16" s="1"/>
      <c r="N16" s="1"/>
      <c r="O16" s="1"/>
      <c r="P16" s="1"/>
      <c r="Q16" s="1"/>
    </row>
    <row r="17" spans="2:17" s="4" customFormat="1" ht="27" customHeight="1">
      <c r="B17" s="55"/>
      <c r="C17" s="63"/>
      <c r="D17" s="136"/>
      <c r="E17" s="177" t="s">
        <v>545</v>
      </c>
      <c r="F17" s="177" t="s">
        <v>505</v>
      </c>
      <c r="G17" s="177" t="s">
        <v>505</v>
      </c>
      <c r="H17" s="177" t="s">
        <v>505</v>
      </c>
      <c r="I17" s="8" t="s">
        <v>506</v>
      </c>
      <c r="J17" s="819" t="s">
        <v>373</v>
      </c>
      <c r="K17" s="124" t="s">
        <v>438</v>
      </c>
      <c r="L17" s="71"/>
      <c r="M17" s="1"/>
      <c r="N17" s="1"/>
      <c r="O17" s="1"/>
      <c r="P17" s="1"/>
      <c r="Q17" s="1"/>
    </row>
    <row r="18" spans="2:17" s="4" customFormat="1" ht="18" customHeight="1">
      <c r="B18" s="55"/>
      <c r="C18" s="947" t="s">
        <v>452</v>
      </c>
      <c r="D18" s="948" t="s">
        <v>208</v>
      </c>
      <c r="E18" s="948">
        <v>2</v>
      </c>
      <c r="F18" s="948">
        <v>4</v>
      </c>
      <c r="G18" s="948">
        <v>0</v>
      </c>
      <c r="H18" s="948">
        <v>4</v>
      </c>
      <c r="I18" s="948">
        <v>19</v>
      </c>
      <c r="J18" s="128">
        <f>2*(F18/100)*(1/I18)*10^6*((100-G18)/100)*((100-H18)/100)</f>
        <v>4042.105263157894</v>
      </c>
      <c r="K18" s="239">
        <f>(E18*J18)/1000</f>
        <v>8.084210526315788</v>
      </c>
      <c r="L18" s="68"/>
      <c r="M18" s="1"/>
      <c r="N18" s="1"/>
      <c r="O18" s="1"/>
      <c r="P18" s="1"/>
      <c r="Q18" s="1"/>
    </row>
    <row r="19" spans="2:17" s="4" customFormat="1" ht="18" customHeight="1">
      <c r="B19" s="80"/>
      <c r="C19" s="43" t="s">
        <v>209</v>
      </c>
      <c r="D19" s="139" t="s">
        <v>210</v>
      </c>
      <c r="E19" s="12"/>
      <c r="F19" s="12"/>
      <c r="G19" s="11"/>
      <c r="H19" s="37"/>
      <c r="I19" s="37"/>
      <c r="J19" s="126"/>
      <c r="K19" s="12"/>
      <c r="L19" s="72"/>
      <c r="M19" s="1"/>
      <c r="N19" s="1"/>
      <c r="O19" s="1"/>
      <c r="P19" s="1"/>
      <c r="Q19" s="1"/>
    </row>
    <row r="20" spans="2:17" s="4" customFormat="1" ht="18" customHeight="1">
      <c r="B20" s="55"/>
      <c r="C20" s="40"/>
      <c r="D20" s="140"/>
      <c r="E20" s="823"/>
      <c r="F20" s="128"/>
      <c r="G20" s="823"/>
      <c r="H20" s="823"/>
      <c r="I20" s="943">
        <v>1</v>
      </c>
      <c r="J20" s="128">
        <f>2*(F20/100)*(1/I20)*10^3*((100-G20)/100)*((100-H20)/100)</f>
        <v>0</v>
      </c>
      <c r="K20" s="239">
        <f>(E20*J20)/1000</f>
        <v>0</v>
      </c>
      <c r="L20" s="73"/>
      <c r="M20" s="1"/>
      <c r="N20" s="1"/>
      <c r="O20" s="1"/>
      <c r="P20" s="1"/>
      <c r="Q20" s="1"/>
    </row>
    <row r="21" spans="2:12" ht="18" customHeight="1">
      <c r="B21" s="55"/>
      <c r="C21" s="40"/>
      <c r="D21" s="140"/>
      <c r="E21" s="823"/>
      <c r="F21" s="128"/>
      <c r="G21" s="823"/>
      <c r="H21" s="823"/>
      <c r="I21" s="943">
        <v>1</v>
      </c>
      <c r="J21" s="128">
        <f aca="true" t="shared" si="0" ref="J21:J33">2*(F21/100)*(1/I21)*10^3*((100-G21)/100)*((100-H21)/100)</f>
        <v>0</v>
      </c>
      <c r="K21" s="239">
        <f aca="true" t="shared" si="1" ref="K21:K33">(E21*J21)/1000</f>
        <v>0</v>
      </c>
      <c r="L21" s="73"/>
    </row>
    <row r="22" spans="2:12" ht="18" customHeight="1">
      <c r="B22" s="55"/>
      <c r="C22" s="40"/>
      <c r="D22" s="140"/>
      <c r="E22" s="823"/>
      <c r="F22" s="128"/>
      <c r="G22" s="823"/>
      <c r="H22" s="823"/>
      <c r="I22" s="943">
        <v>1</v>
      </c>
      <c r="J22" s="128">
        <f t="shared" si="0"/>
        <v>0</v>
      </c>
      <c r="K22" s="239">
        <f t="shared" si="1"/>
        <v>0</v>
      </c>
      <c r="L22" s="73"/>
    </row>
    <row r="23" spans="2:12" ht="18" customHeight="1">
      <c r="B23" s="55"/>
      <c r="C23" s="40"/>
      <c r="D23" s="140"/>
      <c r="E23" s="823"/>
      <c r="F23" s="128"/>
      <c r="G23" s="823"/>
      <c r="H23" s="823"/>
      <c r="I23" s="943">
        <v>1</v>
      </c>
      <c r="J23" s="128">
        <f t="shared" si="0"/>
        <v>0</v>
      </c>
      <c r="K23" s="239">
        <f t="shared" si="1"/>
        <v>0</v>
      </c>
      <c r="L23" s="73"/>
    </row>
    <row r="24" spans="2:12" ht="18" customHeight="1">
      <c r="B24" s="55"/>
      <c r="C24" s="40"/>
      <c r="D24" s="140"/>
      <c r="E24" s="823"/>
      <c r="F24" s="128"/>
      <c r="G24" s="823"/>
      <c r="H24" s="823"/>
      <c r="I24" s="943">
        <v>1</v>
      </c>
      <c r="J24" s="128">
        <f t="shared" si="0"/>
        <v>0</v>
      </c>
      <c r="K24" s="239">
        <f t="shared" si="1"/>
        <v>0</v>
      </c>
      <c r="L24" s="73"/>
    </row>
    <row r="25" spans="2:12" ht="18" customHeight="1">
      <c r="B25" s="55"/>
      <c r="C25" s="40"/>
      <c r="D25" s="140"/>
      <c r="E25" s="823"/>
      <c r="F25" s="128"/>
      <c r="G25" s="823"/>
      <c r="H25" s="823"/>
      <c r="I25" s="943">
        <v>1</v>
      </c>
      <c r="J25" s="128">
        <f t="shared" si="0"/>
        <v>0</v>
      </c>
      <c r="K25" s="239">
        <f t="shared" si="1"/>
        <v>0</v>
      </c>
      <c r="L25" s="73"/>
    </row>
    <row r="26" spans="2:12" ht="18" customHeight="1">
      <c r="B26" s="55"/>
      <c r="C26" s="40"/>
      <c r="D26" s="140"/>
      <c r="E26" s="823"/>
      <c r="F26" s="128"/>
      <c r="G26" s="823"/>
      <c r="H26" s="823"/>
      <c r="I26" s="943">
        <v>1</v>
      </c>
      <c r="J26" s="128">
        <f t="shared" si="0"/>
        <v>0</v>
      </c>
      <c r="K26" s="239">
        <f t="shared" si="1"/>
        <v>0</v>
      </c>
      <c r="L26" s="73"/>
    </row>
    <row r="27" spans="2:12" ht="18" customHeight="1">
      <c r="B27" s="55"/>
      <c r="C27" s="40"/>
      <c r="D27" s="140"/>
      <c r="E27" s="823"/>
      <c r="F27" s="128"/>
      <c r="G27" s="823"/>
      <c r="H27" s="823"/>
      <c r="I27" s="943">
        <v>1</v>
      </c>
      <c r="J27" s="128">
        <f t="shared" si="0"/>
        <v>0</v>
      </c>
      <c r="K27" s="239">
        <f t="shared" si="1"/>
        <v>0</v>
      </c>
      <c r="L27" s="73"/>
    </row>
    <row r="28" spans="2:12" ht="18" customHeight="1">
      <c r="B28" s="55"/>
      <c r="C28" s="40"/>
      <c r="D28" s="140"/>
      <c r="E28" s="823"/>
      <c r="F28" s="128"/>
      <c r="G28" s="823"/>
      <c r="H28" s="823"/>
      <c r="I28" s="943">
        <v>1</v>
      </c>
      <c r="J28" s="128">
        <f t="shared" si="0"/>
        <v>0</v>
      </c>
      <c r="K28" s="239">
        <f t="shared" si="1"/>
        <v>0</v>
      </c>
      <c r="L28" s="73"/>
    </row>
    <row r="29" spans="2:12" ht="18" customHeight="1">
      <c r="B29" s="55"/>
      <c r="C29" s="40"/>
      <c r="D29" s="140"/>
      <c r="E29" s="823"/>
      <c r="F29" s="128"/>
      <c r="G29" s="823"/>
      <c r="H29" s="823"/>
      <c r="I29" s="943">
        <v>1</v>
      </c>
      <c r="J29" s="128">
        <f t="shared" si="0"/>
        <v>0</v>
      </c>
      <c r="K29" s="239">
        <f t="shared" si="1"/>
        <v>0</v>
      </c>
      <c r="L29" s="73"/>
    </row>
    <row r="30" spans="1:12" ht="18" customHeight="1">
      <c r="A30" s="876">
        <v>32</v>
      </c>
      <c r="B30" s="55"/>
      <c r="C30" s="40"/>
      <c r="D30" s="140" t="s">
        <v>211</v>
      </c>
      <c r="E30" s="823"/>
      <c r="F30" s="823"/>
      <c r="G30" s="823"/>
      <c r="H30" s="823"/>
      <c r="I30" s="943">
        <v>1</v>
      </c>
      <c r="J30" s="128">
        <f t="shared" si="0"/>
        <v>0</v>
      </c>
      <c r="K30" s="239">
        <f t="shared" si="1"/>
        <v>0</v>
      </c>
      <c r="L30" s="73"/>
    </row>
    <row r="31" spans="1:12" ht="18" customHeight="1">
      <c r="A31" s="876">
        <v>32</v>
      </c>
      <c r="B31" s="55"/>
      <c r="C31" s="40"/>
      <c r="D31" s="140" t="s">
        <v>211</v>
      </c>
      <c r="E31" s="823"/>
      <c r="F31" s="823"/>
      <c r="G31" s="823"/>
      <c r="H31" s="823"/>
      <c r="I31" s="943">
        <v>1</v>
      </c>
      <c r="J31" s="128">
        <f t="shared" si="0"/>
        <v>0</v>
      </c>
      <c r="K31" s="239">
        <f t="shared" si="1"/>
        <v>0</v>
      </c>
      <c r="L31" s="73"/>
    </row>
    <row r="32" spans="1:12" ht="18" customHeight="1">
      <c r="A32" s="876">
        <v>32</v>
      </c>
      <c r="B32" s="55"/>
      <c r="C32" s="40"/>
      <c r="D32" s="140" t="s">
        <v>211</v>
      </c>
      <c r="E32" s="823"/>
      <c r="F32" s="823"/>
      <c r="G32" s="823"/>
      <c r="H32" s="823"/>
      <c r="I32" s="943">
        <v>1</v>
      </c>
      <c r="J32" s="128">
        <f t="shared" si="0"/>
        <v>0</v>
      </c>
      <c r="K32" s="239">
        <f t="shared" si="1"/>
        <v>0</v>
      </c>
      <c r="L32" s="73"/>
    </row>
    <row r="33" spans="1:12" ht="18" customHeight="1">
      <c r="A33" s="876">
        <v>32</v>
      </c>
      <c r="B33" s="55"/>
      <c r="C33" s="40"/>
      <c r="D33" s="140" t="s">
        <v>211</v>
      </c>
      <c r="E33" s="823"/>
      <c r="F33" s="823"/>
      <c r="G33" s="823"/>
      <c r="H33" s="823"/>
      <c r="I33" s="943">
        <v>1</v>
      </c>
      <c r="J33" s="128">
        <f t="shared" si="0"/>
        <v>0</v>
      </c>
      <c r="K33" s="239">
        <f t="shared" si="1"/>
        <v>0</v>
      </c>
      <c r="L33" s="73"/>
    </row>
    <row r="34" spans="1:12" ht="15.75">
      <c r="A34" s="876">
        <v>32</v>
      </c>
      <c r="B34" s="55"/>
      <c r="C34" s="63"/>
      <c r="D34" s="63"/>
      <c r="E34" s="63"/>
      <c r="F34" s="63"/>
      <c r="G34" s="63"/>
      <c r="H34" s="63"/>
      <c r="I34" s="63"/>
      <c r="J34" s="63" t="s">
        <v>546</v>
      </c>
      <c r="K34" s="820">
        <f>SUM(K20:K33)</f>
        <v>0</v>
      </c>
      <c r="L34" s="56"/>
    </row>
    <row r="35" spans="1:12" ht="13.5" thickBot="1">
      <c r="A35" s="876">
        <v>32</v>
      </c>
      <c r="B35" s="78"/>
      <c r="C35" s="79"/>
      <c r="D35" s="79"/>
      <c r="E35" s="79"/>
      <c r="F35" s="79"/>
      <c r="G35" s="79"/>
      <c r="H35" s="79"/>
      <c r="I35" s="79"/>
      <c r="J35" s="79"/>
      <c r="K35" s="79"/>
      <c r="L35" s="75"/>
    </row>
    <row r="36" ht="13.5" thickTop="1">
      <c r="A36" s="876">
        <v>32</v>
      </c>
    </row>
    <row r="37" ht="13.5" thickBot="1">
      <c r="A37" s="876">
        <v>32</v>
      </c>
    </row>
    <row r="38" spans="1:15" ht="19.5" thickBot="1" thickTop="1">
      <c r="A38" s="876">
        <v>32</v>
      </c>
      <c r="C38" s="221"/>
      <c r="D38" s="53"/>
      <c r="E38" s="53"/>
      <c r="F38" s="54"/>
      <c r="I38" s="52"/>
      <c r="J38" s="53"/>
      <c r="K38" s="53"/>
      <c r="L38" s="53"/>
      <c r="M38" s="53"/>
      <c r="N38" s="53"/>
      <c r="O38" s="54"/>
    </row>
    <row r="39" spans="1:15" ht="51">
      <c r="A39" s="876">
        <v>32</v>
      </c>
      <c r="C39" s="869"/>
      <c r="D39" s="870" t="s">
        <v>212</v>
      </c>
      <c r="E39" s="847" t="s">
        <v>213</v>
      </c>
      <c r="F39" s="73"/>
      <c r="I39" s="55"/>
      <c r="J39" s="1153" t="s">
        <v>265</v>
      </c>
      <c r="K39" s="1154"/>
      <c r="L39" s="1154"/>
      <c r="M39" s="1154"/>
      <c r="N39" s="1155"/>
      <c r="O39" s="84"/>
    </row>
    <row r="40" spans="3:15" ht="13.5" thickBot="1">
      <c r="C40" s="869">
        <v>16</v>
      </c>
      <c r="D40" s="848" t="s">
        <v>370</v>
      </c>
      <c r="E40" s="849">
        <v>0.1</v>
      </c>
      <c r="F40" s="73"/>
      <c r="I40" s="55"/>
      <c r="J40" s="1156"/>
      <c r="K40" s="1157"/>
      <c r="L40" s="1157"/>
      <c r="M40" s="1157"/>
      <c r="N40" s="1158"/>
      <c r="O40" s="84"/>
    </row>
    <row r="41" spans="3:15" ht="13.5" thickBot="1">
      <c r="C41" s="869">
        <v>16</v>
      </c>
      <c r="D41" s="848" t="s">
        <v>371</v>
      </c>
      <c r="E41" s="849">
        <v>0.15</v>
      </c>
      <c r="F41" s="73"/>
      <c r="I41" s="55"/>
      <c r="J41" s="780" t="s">
        <v>210</v>
      </c>
      <c r="K41" s="833" t="s">
        <v>266</v>
      </c>
      <c r="L41" s="878">
        <v>2000</v>
      </c>
      <c r="M41" s="833">
        <v>2001</v>
      </c>
      <c r="N41" s="879">
        <v>2002</v>
      </c>
      <c r="O41" s="834"/>
    </row>
    <row r="42" spans="3:15" ht="12.75">
      <c r="C42" s="869">
        <v>16</v>
      </c>
      <c r="D42" s="848" t="s">
        <v>405</v>
      </c>
      <c r="E42" s="849">
        <v>0.05</v>
      </c>
      <c r="F42" s="73"/>
      <c r="I42" s="55"/>
      <c r="J42" s="880" t="s">
        <v>227</v>
      </c>
      <c r="K42" s="779" t="s">
        <v>853</v>
      </c>
      <c r="L42" s="881">
        <v>6005</v>
      </c>
      <c r="M42" s="881">
        <v>5968</v>
      </c>
      <c r="N42" s="882">
        <v>5863</v>
      </c>
      <c r="O42" s="835"/>
    </row>
    <row r="43" spans="3:15" ht="12.75">
      <c r="C43" s="869">
        <v>16</v>
      </c>
      <c r="D43" s="848" t="s">
        <v>214</v>
      </c>
      <c r="E43" s="849">
        <v>0.5</v>
      </c>
      <c r="F43" s="73"/>
      <c r="I43" s="55"/>
      <c r="J43" s="883" t="s">
        <v>228</v>
      </c>
      <c r="K43" s="779" t="s">
        <v>853</v>
      </c>
      <c r="L43" s="881">
        <v>3661</v>
      </c>
      <c r="M43" s="881">
        <v>3685</v>
      </c>
      <c r="N43" s="882">
        <v>3685</v>
      </c>
      <c r="O43" s="835"/>
    </row>
    <row r="44" spans="3:15" ht="12.75">
      <c r="C44" s="869">
        <v>16</v>
      </c>
      <c r="D44" s="848" t="s">
        <v>372</v>
      </c>
      <c r="E44" s="849">
        <v>0.5</v>
      </c>
      <c r="F44" s="73"/>
      <c r="I44" s="55"/>
      <c r="J44" s="883" t="s">
        <v>229</v>
      </c>
      <c r="K44" s="779" t="s">
        <v>854</v>
      </c>
      <c r="L44" s="881">
        <v>40273</v>
      </c>
      <c r="M44" s="881">
        <v>40441</v>
      </c>
      <c r="N44" s="882">
        <v>40474</v>
      </c>
      <c r="O44" s="835"/>
    </row>
    <row r="45" spans="3:15" ht="12.75">
      <c r="C45" s="869">
        <v>16</v>
      </c>
      <c r="D45" s="848" t="s">
        <v>215</v>
      </c>
      <c r="E45" s="849">
        <v>2</v>
      </c>
      <c r="F45" s="73"/>
      <c r="I45" s="55"/>
      <c r="J45" s="883" t="s">
        <v>230</v>
      </c>
      <c r="K45" s="779" t="s">
        <v>854</v>
      </c>
      <c r="L45" s="881">
        <v>32326</v>
      </c>
      <c r="M45" s="881">
        <v>32762</v>
      </c>
      <c r="N45" s="882">
        <v>33080</v>
      </c>
      <c r="O45" s="835"/>
    </row>
    <row r="46" spans="3:15" ht="12.75">
      <c r="C46" s="869">
        <v>16</v>
      </c>
      <c r="D46" s="848" t="s">
        <v>216</v>
      </c>
      <c r="E46" s="849">
        <v>4</v>
      </c>
      <c r="F46" s="73"/>
      <c r="I46" s="55"/>
      <c r="J46" s="883" t="s">
        <v>231</v>
      </c>
      <c r="K46" s="779" t="s">
        <v>855</v>
      </c>
      <c r="L46" s="881">
        <v>19136</v>
      </c>
      <c r="M46" s="881">
        <v>18796</v>
      </c>
      <c r="N46" s="882">
        <v>19405</v>
      </c>
      <c r="O46" s="835"/>
    </row>
    <row r="47" spans="3:15" ht="12.75">
      <c r="C47" s="869">
        <v>16</v>
      </c>
      <c r="D47" s="848" t="s">
        <v>217</v>
      </c>
      <c r="E47" s="849">
        <v>1</v>
      </c>
      <c r="F47" s="73"/>
      <c r="I47" s="55"/>
      <c r="J47" s="883" t="s">
        <v>232</v>
      </c>
      <c r="K47" s="779" t="s">
        <v>855</v>
      </c>
      <c r="L47" s="881">
        <v>23483</v>
      </c>
      <c r="M47" s="881">
        <v>23483</v>
      </c>
      <c r="N47" s="882">
        <v>23483</v>
      </c>
      <c r="O47" s="835"/>
    </row>
    <row r="48" spans="3:15" ht="12.75">
      <c r="C48" s="869">
        <v>16</v>
      </c>
      <c r="D48" s="848" t="s">
        <v>267</v>
      </c>
      <c r="E48" s="849">
        <v>2</v>
      </c>
      <c r="F48" s="73"/>
      <c r="I48" s="55"/>
      <c r="J48" s="883" t="s">
        <v>233</v>
      </c>
      <c r="K48" s="779" t="s">
        <v>856</v>
      </c>
      <c r="L48" s="881">
        <v>10407</v>
      </c>
      <c r="M48" s="881">
        <v>10263</v>
      </c>
      <c r="N48" s="882">
        <v>10420</v>
      </c>
      <c r="O48" s="835"/>
    </row>
    <row r="49" spans="3:15" ht="12.75">
      <c r="C49" s="869">
        <v>16</v>
      </c>
      <c r="D49" s="848" t="s">
        <v>218</v>
      </c>
      <c r="E49" s="849">
        <v>0</v>
      </c>
      <c r="F49" s="73"/>
      <c r="I49" s="55"/>
      <c r="J49" s="883" t="s">
        <v>234</v>
      </c>
      <c r="K49" s="779" t="s">
        <v>857</v>
      </c>
      <c r="L49" s="881">
        <v>6143</v>
      </c>
      <c r="M49" s="881">
        <v>6143</v>
      </c>
      <c r="N49" s="882">
        <v>5658</v>
      </c>
      <c r="O49" s="835"/>
    </row>
    <row r="50" spans="3:15" ht="12.75">
      <c r="C50" s="869">
        <v>1</v>
      </c>
      <c r="D50" s="848" t="s">
        <v>219</v>
      </c>
      <c r="E50" s="849">
        <v>0.01</v>
      </c>
      <c r="F50" s="73"/>
      <c r="I50" s="55"/>
      <c r="J50" s="883" t="s">
        <v>235</v>
      </c>
      <c r="K50" s="779" t="s">
        <v>857</v>
      </c>
      <c r="L50" s="881">
        <v>5628</v>
      </c>
      <c r="M50" s="881">
        <v>5628</v>
      </c>
      <c r="N50" s="882">
        <v>5983</v>
      </c>
      <c r="O50" s="835"/>
    </row>
    <row r="51" spans="3:15" ht="12.75">
      <c r="C51" s="869">
        <v>1</v>
      </c>
      <c r="D51" s="848" t="s">
        <v>220</v>
      </c>
      <c r="E51" s="849">
        <v>0.3</v>
      </c>
      <c r="F51" s="73"/>
      <c r="I51" s="55"/>
      <c r="J51" s="883" t="s">
        <v>236</v>
      </c>
      <c r="K51" s="779" t="s">
        <v>857</v>
      </c>
      <c r="L51" s="881">
        <v>5700</v>
      </c>
      <c r="M51" s="881">
        <v>5700</v>
      </c>
      <c r="N51" s="882">
        <v>5543</v>
      </c>
      <c r="O51" s="835"/>
    </row>
    <row r="52" spans="3:15" ht="12.75">
      <c r="C52" s="869">
        <v>1</v>
      </c>
      <c r="D52" s="848" t="s">
        <v>221</v>
      </c>
      <c r="E52" s="849">
        <v>0.9</v>
      </c>
      <c r="F52" s="73"/>
      <c r="I52" s="55"/>
      <c r="J52" s="883" t="s">
        <v>237</v>
      </c>
      <c r="K52" s="779" t="s">
        <v>857</v>
      </c>
      <c r="L52" s="881">
        <v>4781</v>
      </c>
      <c r="M52" s="881">
        <v>4781</v>
      </c>
      <c r="N52" s="882">
        <v>4781</v>
      </c>
      <c r="O52" s="835"/>
    </row>
    <row r="53" spans="3:15" ht="12.75">
      <c r="C53" s="869">
        <v>2</v>
      </c>
      <c r="D53" s="848" t="s">
        <v>222</v>
      </c>
      <c r="E53" s="849">
        <v>1</v>
      </c>
      <c r="F53" s="73"/>
      <c r="I53" s="55"/>
      <c r="J53" s="883" t="s">
        <v>238</v>
      </c>
      <c r="K53" s="779" t="s">
        <v>858</v>
      </c>
      <c r="L53" s="881">
        <v>31672</v>
      </c>
      <c r="M53" s="881">
        <v>29631</v>
      </c>
      <c r="N53" s="882">
        <v>30675</v>
      </c>
      <c r="O53" s="835"/>
    </row>
    <row r="54" spans="3:15" ht="12.75">
      <c r="C54" s="869"/>
      <c r="D54" s="848" t="s">
        <v>223</v>
      </c>
      <c r="E54" s="849">
        <v>1.39</v>
      </c>
      <c r="F54" s="73"/>
      <c r="I54" s="55"/>
      <c r="J54" s="883" t="s">
        <v>239</v>
      </c>
      <c r="K54" s="779" t="s">
        <v>857</v>
      </c>
      <c r="L54" s="881">
        <v>3734</v>
      </c>
      <c r="M54" s="881">
        <v>3734</v>
      </c>
      <c r="N54" s="882">
        <v>3734</v>
      </c>
      <c r="O54" s="835"/>
    </row>
    <row r="55" spans="3:15" ht="13.5" thickBot="1">
      <c r="C55" s="78"/>
      <c r="D55" s="79"/>
      <c r="E55" s="79"/>
      <c r="F55" s="75"/>
      <c r="I55" s="55"/>
      <c r="J55" s="883" t="s">
        <v>240</v>
      </c>
      <c r="K55" s="779" t="s">
        <v>857</v>
      </c>
      <c r="L55" s="881">
        <v>5126</v>
      </c>
      <c r="M55" s="881">
        <v>5051</v>
      </c>
      <c r="N55" s="882">
        <v>5051</v>
      </c>
      <c r="O55" s="835"/>
    </row>
    <row r="56" spans="9:15" ht="13.5" thickTop="1">
      <c r="I56" s="55"/>
      <c r="J56" s="883" t="s">
        <v>859</v>
      </c>
      <c r="K56" s="779" t="s">
        <v>857</v>
      </c>
      <c r="L56" s="881">
        <v>5185</v>
      </c>
      <c r="M56" s="881">
        <v>5185</v>
      </c>
      <c r="N56" s="882">
        <v>5076</v>
      </c>
      <c r="O56" s="835"/>
    </row>
    <row r="57" spans="4:15" ht="12.75">
      <c r="D57" s="841"/>
      <c r="I57" s="55"/>
      <c r="J57" s="883" t="s">
        <v>241</v>
      </c>
      <c r="K57" s="779" t="s">
        <v>857</v>
      </c>
      <c r="L57" s="881">
        <v>5665</v>
      </c>
      <c r="M57" s="881">
        <v>5602</v>
      </c>
      <c r="N57" s="882">
        <v>5602</v>
      </c>
      <c r="O57" s="835"/>
    </row>
    <row r="58" spans="9:15" ht="12.75">
      <c r="I58" s="55"/>
      <c r="J58" s="883" t="s">
        <v>843</v>
      </c>
      <c r="K58" s="779" t="s">
        <v>857</v>
      </c>
      <c r="L58" s="881">
        <v>5729</v>
      </c>
      <c r="M58" s="881">
        <v>5561</v>
      </c>
      <c r="N58" s="882">
        <v>5561</v>
      </c>
      <c r="O58" s="835"/>
    </row>
    <row r="59" spans="9:15" ht="12.75">
      <c r="I59" s="55"/>
      <c r="J59" s="883" t="s">
        <v>242</v>
      </c>
      <c r="K59" s="779" t="s">
        <v>857</v>
      </c>
      <c r="L59" s="881">
        <v>6392</v>
      </c>
      <c r="M59" s="881">
        <v>6392</v>
      </c>
      <c r="N59" s="882">
        <v>6392</v>
      </c>
      <c r="O59" s="835"/>
    </row>
    <row r="60" spans="9:15" ht="12.75">
      <c r="I60" s="55"/>
      <c r="J60" s="883" t="s">
        <v>243</v>
      </c>
      <c r="K60" s="779" t="s">
        <v>857</v>
      </c>
      <c r="L60" s="881">
        <v>6539</v>
      </c>
      <c r="M60" s="881">
        <v>6539</v>
      </c>
      <c r="N60" s="882">
        <v>6515</v>
      </c>
      <c r="O60" s="835"/>
    </row>
    <row r="61" spans="9:15" ht="12.75">
      <c r="I61" s="55"/>
      <c r="J61" s="883" t="s">
        <v>244</v>
      </c>
      <c r="K61" s="779" t="s">
        <v>857</v>
      </c>
      <c r="L61" s="881">
        <v>6029</v>
      </c>
      <c r="M61" s="881">
        <v>6029</v>
      </c>
      <c r="N61" s="882">
        <v>6800</v>
      </c>
      <c r="O61" s="835"/>
    </row>
    <row r="62" spans="9:15" ht="12.75">
      <c r="I62" s="55"/>
      <c r="J62" s="883" t="s">
        <v>245</v>
      </c>
      <c r="K62" s="779" t="s">
        <v>857</v>
      </c>
      <c r="L62" s="881">
        <v>5967</v>
      </c>
      <c r="M62" s="881">
        <v>5967</v>
      </c>
      <c r="N62" s="882">
        <v>5967</v>
      </c>
      <c r="O62" s="835"/>
    </row>
    <row r="63" spans="9:15" ht="12.75">
      <c r="I63" s="55"/>
      <c r="J63" s="883" t="s">
        <v>246</v>
      </c>
      <c r="K63" s="779" t="s">
        <v>857</v>
      </c>
      <c r="L63" s="881">
        <v>5814</v>
      </c>
      <c r="M63" s="881">
        <v>5814</v>
      </c>
      <c r="N63" s="882">
        <v>5922</v>
      </c>
      <c r="O63" s="835"/>
    </row>
    <row r="64" spans="9:15" ht="12.75">
      <c r="I64" s="55"/>
      <c r="J64" s="883" t="s">
        <v>247</v>
      </c>
      <c r="K64" s="779" t="s">
        <v>860</v>
      </c>
      <c r="L64" s="881">
        <v>33427</v>
      </c>
      <c r="M64" s="881">
        <v>33913</v>
      </c>
      <c r="N64" s="882">
        <v>33913</v>
      </c>
      <c r="O64" s="835"/>
    </row>
    <row r="65" spans="9:15" ht="12.75">
      <c r="I65" s="55"/>
      <c r="J65" s="883" t="s">
        <v>248</v>
      </c>
      <c r="K65" s="779" t="s">
        <v>858</v>
      </c>
      <c r="L65" s="881">
        <v>8831</v>
      </c>
      <c r="M65" s="881">
        <v>8831</v>
      </c>
      <c r="N65" s="882">
        <v>8750</v>
      </c>
      <c r="O65" s="835"/>
    </row>
    <row r="66" spans="9:15" ht="12.75">
      <c r="I66" s="55"/>
      <c r="J66" s="883" t="s">
        <v>249</v>
      </c>
      <c r="K66" s="779" t="s">
        <v>857</v>
      </c>
      <c r="L66" s="881">
        <v>2799</v>
      </c>
      <c r="M66" s="881">
        <v>2704</v>
      </c>
      <c r="N66" s="882">
        <v>2710</v>
      </c>
      <c r="O66" s="835"/>
    </row>
    <row r="67" spans="9:15" ht="12.75">
      <c r="I67" s="55"/>
      <c r="J67" s="883" t="s">
        <v>252</v>
      </c>
      <c r="K67" s="779" t="s">
        <v>857</v>
      </c>
      <c r="L67" s="881">
        <v>6709</v>
      </c>
      <c r="M67" s="881">
        <v>7079</v>
      </c>
      <c r="N67" s="882">
        <v>7079</v>
      </c>
      <c r="O67" s="835"/>
    </row>
    <row r="68" spans="9:15" ht="12.75">
      <c r="I68" s="55"/>
      <c r="J68" s="883" t="s">
        <v>253</v>
      </c>
      <c r="K68" s="779" t="s">
        <v>857</v>
      </c>
      <c r="L68" s="881">
        <v>4069</v>
      </c>
      <c r="M68" s="881">
        <v>4069</v>
      </c>
      <c r="N68" s="882">
        <v>4069</v>
      </c>
      <c r="O68" s="835"/>
    </row>
    <row r="69" spans="9:15" ht="12.75">
      <c r="I69" s="55"/>
      <c r="J69" s="883" t="s">
        <v>254</v>
      </c>
      <c r="K69" s="779" t="s">
        <v>857</v>
      </c>
      <c r="L69" s="881">
        <v>4069</v>
      </c>
      <c r="M69" s="881">
        <v>4069</v>
      </c>
      <c r="N69" s="882">
        <v>4069</v>
      </c>
      <c r="O69" s="835"/>
    </row>
    <row r="70" spans="9:15" ht="12.75">
      <c r="I70" s="55"/>
      <c r="J70" s="883" t="s">
        <v>255</v>
      </c>
      <c r="K70" s="779" t="s">
        <v>860</v>
      </c>
      <c r="L70" s="881">
        <v>35424</v>
      </c>
      <c r="M70" s="881">
        <v>33913</v>
      </c>
      <c r="N70" s="882">
        <v>35707</v>
      </c>
      <c r="O70" s="835"/>
    </row>
    <row r="71" spans="9:15" ht="12.75">
      <c r="I71" s="55"/>
      <c r="J71" s="883" t="s">
        <v>256</v>
      </c>
      <c r="K71" s="779" t="s">
        <v>860</v>
      </c>
      <c r="L71" s="881">
        <v>34478</v>
      </c>
      <c r="M71" s="881">
        <v>33913</v>
      </c>
      <c r="N71" s="882">
        <v>34599</v>
      </c>
      <c r="O71" s="835"/>
    </row>
    <row r="72" spans="9:15" ht="12.75">
      <c r="I72" s="55"/>
      <c r="J72" s="883" t="s">
        <v>258</v>
      </c>
      <c r="K72" s="779" t="s">
        <v>858</v>
      </c>
      <c r="L72" s="881">
        <v>18360</v>
      </c>
      <c r="M72" s="881">
        <v>23981</v>
      </c>
      <c r="N72" s="882">
        <v>25284</v>
      </c>
      <c r="O72" s="835"/>
    </row>
    <row r="73" spans="9:15" ht="12.75">
      <c r="I73" s="55"/>
      <c r="J73" s="883" t="s">
        <v>259</v>
      </c>
      <c r="K73" s="779" t="s">
        <v>858</v>
      </c>
      <c r="L73" s="881">
        <v>29559</v>
      </c>
      <c r="M73" s="881">
        <v>29559</v>
      </c>
      <c r="N73" s="882">
        <v>29559</v>
      </c>
      <c r="O73" s="835"/>
    </row>
    <row r="74" spans="9:15" ht="12.75">
      <c r="I74" s="55"/>
      <c r="J74" s="883" t="s">
        <v>260</v>
      </c>
      <c r="K74" s="779" t="s">
        <v>858</v>
      </c>
      <c r="L74" s="881">
        <v>26521</v>
      </c>
      <c r="M74" s="881">
        <v>26521</v>
      </c>
      <c r="N74" s="882">
        <v>26521</v>
      </c>
      <c r="O74" s="835"/>
    </row>
    <row r="75" spans="9:15" ht="12.75">
      <c r="I75" s="55"/>
      <c r="J75" s="883" t="s">
        <v>261</v>
      </c>
      <c r="K75" s="779" t="s">
        <v>858</v>
      </c>
      <c r="L75" s="881">
        <v>14486</v>
      </c>
      <c r="M75" s="881">
        <v>14486</v>
      </c>
      <c r="N75" s="882">
        <v>14486</v>
      </c>
      <c r="O75" s="835"/>
    </row>
    <row r="76" spans="9:15" ht="12.75">
      <c r="I76" s="55"/>
      <c r="J76" s="883" t="s">
        <v>262</v>
      </c>
      <c r="K76" s="779" t="s">
        <v>858</v>
      </c>
      <c r="L76" s="881">
        <v>7055</v>
      </c>
      <c r="M76" s="881">
        <v>7055</v>
      </c>
      <c r="N76" s="882">
        <v>7055</v>
      </c>
      <c r="O76" s="835"/>
    </row>
    <row r="77" spans="9:15" ht="12.75">
      <c r="I77" s="55"/>
      <c r="J77" s="883" t="s">
        <v>263</v>
      </c>
      <c r="K77" s="779" t="s">
        <v>856</v>
      </c>
      <c r="L77" s="881">
        <v>3600</v>
      </c>
      <c r="M77" s="881">
        <v>3600</v>
      </c>
      <c r="N77" s="882">
        <v>3600</v>
      </c>
      <c r="O77" s="835"/>
    </row>
    <row r="78" spans="9:15" ht="13.5" thickBot="1">
      <c r="I78" s="55"/>
      <c r="J78" s="884" t="s">
        <v>264</v>
      </c>
      <c r="K78" s="885" t="s">
        <v>861</v>
      </c>
      <c r="L78" s="886">
        <v>3287</v>
      </c>
      <c r="M78" s="886">
        <v>3287</v>
      </c>
      <c r="N78" s="887">
        <v>3287</v>
      </c>
      <c r="O78" s="835"/>
    </row>
    <row r="79" spans="9:15" ht="13.5" thickBot="1">
      <c r="I79" s="78"/>
      <c r="J79" s="79"/>
      <c r="K79" s="79"/>
      <c r="L79" s="79"/>
      <c r="M79" s="79"/>
      <c r="N79" s="79"/>
      <c r="O79" s="75"/>
    </row>
    <row r="80" ht="13.5" thickTop="1"/>
  </sheetData>
  <mergeCells count="7">
    <mergeCell ref="A2:T2"/>
    <mergeCell ref="A4:L4"/>
    <mergeCell ref="F10:L11"/>
    <mergeCell ref="J39:N40"/>
    <mergeCell ref="F14:J14"/>
    <mergeCell ref="B10:C10"/>
    <mergeCell ref="C16:D16"/>
  </mergeCells>
  <printOptions/>
  <pageMargins left="0.75" right="0.75" top="1" bottom="1" header="0" footer="0"/>
  <pageSetup horizontalDpi="600" verticalDpi="600" orientation="landscape" scale="75" r:id="rId3"/>
  <legacy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CH152"/>
  <sheetViews>
    <sheetView zoomScale="80" zoomScaleNormal="80" workbookViewId="0" topLeftCell="A10">
      <selection activeCell="A2" sqref="A2"/>
    </sheetView>
  </sheetViews>
  <sheetFormatPr defaultColWidth="11.421875" defaultRowHeight="12.75"/>
  <cols>
    <col min="1" max="1" width="3.57421875" style="284" customWidth="1"/>
    <col min="2" max="2" width="3.140625" style="284" customWidth="1"/>
    <col min="3" max="3" width="38.28125" style="284" customWidth="1"/>
    <col min="4" max="4" width="23.7109375" style="285" customWidth="1"/>
    <col min="5" max="5" width="18.421875" style="284" customWidth="1"/>
    <col min="6" max="6" width="18.28125" style="284" customWidth="1"/>
    <col min="7" max="7" width="16.140625" style="284" customWidth="1"/>
    <col min="8" max="8" width="19.00390625" style="284" customWidth="1"/>
    <col min="9" max="9" width="14.00390625" style="285" customWidth="1"/>
    <col min="10" max="10" width="13.140625" style="284" customWidth="1"/>
    <col min="11" max="11" width="16.7109375" style="284" customWidth="1"/>
    <col min="12" max="12" width="15.140625" style="286" customWidth="1"/>
    <col min="13" max="13" width="22.421875" style="284" customWidth="1"/>
    <col min="14" max="14" width="10.421875" style="284" customWidth="1"/>
    <col min="15" max="15" width="14.421875" style="284" customWidth="1"/>
    <col min="16" max="16" width="21.8515625" style="284" customWidth="1"/>
    <col min="17" max="17" width="4.140625" style="284" customWidth="1"/>
    <col min="18" max="18" width="12.140625" style="284" customWidth="1"/>
    <col min="19" max="19" width="14.421875" style="284" customWidth="1"/>
    <col min="20" max="20" width="17.28125" style="284" customWidth="1"/>
    <col min="21" max="21" width="36.140625" style="284" customWidth="1"/>
    <col min="22" max="22" width="24.140625" style="284" customWidth="1"/>
    <col min="23" max="23" width="29.8515625" style="284" customWidth="1"/>
    <col min="24" max="24" width="28.7109375" style="284" customWidth="1"/>
    <col min="25" max="25" width="28.140625" style="284" customWidth="1"/>
    <col min="26" max="26" width="24.140625" style="284" customWidth="1"/>
    <col min="27" max="27" width="21.28125" style="284" customWidth="1"/>
    <col min="28" max="28" width="25.8515625" style="284" customWidth="1"/>
    <col min="29" max="29" width="23.7109375" style="284" customWidth="1"/>
    <col min="30" max="30" width="33.140625" style="284" customWidth="1"/>
    <col min="31" max="31" width="17.8515625" style="284" customWidth="1"/>
    <col min="32" max="32" width="15.421875" style="284" customWidth="1"/>
    <col min="33" max="33" width="16.28125" style="284" customWidth="1"/>
    <col min="34" max="34" width="13.8515625" style="284" customWidth="1"/>
    <col min="35" max="35" width="12.421875" style="284" customWidth="1"/>
    <col min="36" max="36" width="17.28125" style="284" customWidth="1"/>
    <col min="37" max="37" width="15.57421875" style="284" customWidth="1"/>
    <col min="38" max="38" width="9.140625" style="284" customWidth="1"/>
    <col min="39" max="39" width="36.7109375" style="284" customWidth="1"/>
    <col min="40" max="40" width="18.421875" style="284" customWidth="1"/>
    <col min="41" max="41" width="9.140625" style="284" customWidth="1"/>
    <col min="42" max="42" width="15.421875" style="284" customWidth="1"/>
    <col min="43" max="16384" width="9.140625" style="284" customWidth="1"/>
  </cols>
  <sheetData>
    <row r="1" spans="2:21" s="4" customFormat="1" ht="16.5" customHeight="1">
      <c r="B1" s="1110" t="s">
        <v>46</v>
      </c>
      <c r="C1" s="1110"/>
      <c r="D1" s="1110"/>
      <c r="E1" s="1110"/>
      <c r="F1" s="1110"/>
      <c r="G1" s="1110"/>
      <c r="H1" s="1110"/>
      <c r="I1" s="1110"/>
      <c r="J1" s="1110"/>
      <c r="K1" s="1110"/>
      <c r="L1" s="1110"/>
      <c r="M1" s="1110"/>
      <c r="N1" s="1110"/>
      <c r="O1" s="1110"/>
      <c r="P1" s="1110"/>
      <c r="Q1" s="1110"/>
      <c r="R1" s="1110"/>
      <c r="S1" s="1110"/>
      <c r="T1" s="1110"/>
      <c r="U1" s="1110"/>
    </row>
    <row r="2" spans="2:14" s="4" customFormat="1" ht="16.5" customHeight="1">
      <c r="B2" s="262"/>
      <c r="C2" s="15"/>
      <c r="D2" s="261"/>
      <c r="E2" s="261"/>
      <c r="F2" s="261"/>
      <c r="G2" s="261"/>
      <c r="H2" s="282"/>
      <c r="I2" s="282"/>
      <c r="J2" s="282"/>
      <c r="K2" s="282"/>
      <c r="L2" s="282"/>
      <c r="M2" s="282"/>
      <c r="N2" s="282"/>
    </row>
    <row r="3" spans="2:14" s="4" customFormat="1" ht="27" customHeight="1">
      <c r="B3" s="262"/>
      <c r="C3" s="1136" t="s">
        <v>165</v>
      </c>
      <c r="D3" s="1136"/>
      <c r="E3" s="1136"/>
      <c r="F3" s="1136"/>
      <c r="G3" s="1136"/>
      <c r="H3" s="1136"/>
      <c r="I3" s="1136"/>
      <c r="J3" s="1136"/>
      <c r="K3" s="1136"/>
      <c r="L3" s="282"/>
      <c r="M3" s="282"/>
      <c r="N3" s="282"/>
    </row>
    <row r="4" spans="2:16" s="4" customFormat="1" ht="18" customHeight="1">
      <c r="B4" s="262"/>
      <c r="C4" s="949"/>
      <c r="D4" s="949"/>
      <c r="E4" s="949"/>
      <c r="F4" s="949"/>
      <c r="G4" s="949"/>
      <c r="H4" s="949"/>
      <c r="I4" s="949"/>
      <c r="J4" s="949"/>
      <c r="K4" s="949"/>
      <c r="L4" s="949"/>
      <c r="M4" s="949"/>
      <c r="N4" s="949"/>
      <c r="O4" s="949"/>
      <c r="P4" s="949"/>
    </row>
    <row r="5" ht="18" customHeight="1"/>
    <row r="6" spans="3:14" ht="154.5" customHeight="1">
      <c r="C6" s="1170" t="s">
        <v>167</v>
      </c>
      <c r="D6" s="1171"/>
      <c r="E6" s="1171"/>
      <c r="F6" s="1171"/>
      <c r="G6" s="1171"/>
      <c r="H6" s="1171"/>
      <c r="I6" s="1171"/>
      <c r="J6" s="1171"/>
      <c r="K6" s="1171"/>
      <c r="L6" s="1171"/>
      <c r="M6" s="283"/>
      <c r="N6" s="283"/>
    </row>
    <row r="7" spans="3:14" ht="19.5" customHeight="1" thickBot="1">
      <c r="C7" s="375"/>
      <c r="D7" s="282"/>
      <c r="E7" s="282"/>
      <c r="F7" s="282"/>
      <c r="G7" s="282"/>
      <c r="H7" s="282"/>
      <c r="I7" s="282"/>
      <c r="J7" s="282"/>
      <c r="K7" s="282"/>
      <c r="L7" s="282"/>
      <c r="M7" s="283"/>
      <c r="N7" s="283"/>
    </row>
    <row r="8" spans="2:14" ht="19.5" customHeight="1" thickTop="1">
      <c r="B8" s="618" t="s">
        <v>207</v>
      </c>
      <c r="C8" s="612"/>
      <c r="D8" s="613"/>
      <c r="E8" s="614"/>
      <c r="F8" s="614"/>
      <c r="G8" s="614"/>
      <c r="H8" s="622"/>
      <c r="I8" s="282"/>
      <c r="J8" s="282"/>
      <c r="K8" s="282"/>
      <c r="L8" s="282"/>
      <c r="M8" s="283"/>
      <c r="N8" s="283"/>
    </row>
    <row r="9" spans="2:14" ht="18" customHeight="1">
      <c r="B9" s="1174" t="s">
        <v>447</v>
      </c>
      <c r="C9" s="1175"/>
      <c r="D9" s="150"/>
      <c r="E9" s="159"/>
      <c r="F9" s="159"/>
      <c r="G9" s="159"/>
      <c r="H9" s="367"/>
      <c r="I9" s="282"/>
      <c r="J9" s="282"/>
      <c r="K9" s="282"/>
      <c r="L9" s="282"/>
      <c r="M9" s="283"/>
      <c r="N9" s="283"/>
    </row>
    <row r="10" spans="2:14" ht="18" customHeight="1">
      <c r="B10" s="1176" t="s">
        <v>448</v>
      </c>
      <c r="C10" s="1177"/>
      <c r="D10" s="576" t="s">
        <v>877</v>
      </c>
      <c r="E10" s="928"/>
      <c r="F10" s="959"/>
      <c r="G10" s="959"/>
      <c r="H10" s="367"/>
      <c r="I10" s="282"/>
      <c r="J10" s="282"/>
      <c r="K10" s="282"/>
      <c r="L10" s="282"/>
      <c r="M10" s="283"/>
      <c r="N10" s="283"/>
    </row>
    <row r="11" spans="2:14" ht="18" customHeight="1">
      <c r="B11" s="1207" t="s">
        <v>449</v>
      </c>
      <c r="C11" s="1208"/>
      <c r="D11" s="152"/>
      <c r="E11" s="929"/>
      <c r="F11" s="959"/>
      <c r="G11" s="959"/>
      <c r="H11" s="367"/>
      <c r="I11" s="282"/>
      <c r="J11" s="282"/>
      <c r="K11" s="282"/>
      <c r="L11" s="282"/>
      <c r="M11" s="283"/>
      <c r="N11" s="283"/>
    </row>
    <row r="12" spans="2:14" ht="18" customHeight="1">
      <c r="B12" s="1207" t="s">
        <v>166</v>
      </c>
      <c r="C12" s="1208"/>
      <c r="D12" s="153"/>
      <c r="E12" s="159"/>
      <c r="F12" s="159"/>
      <c r="G12" s="159"/>
      <c r="H12" s="367"/>
      <c r="I12" s="282"/>
      <c r="J12" s="282"/>
      <c r="K12" s="282"/>
      <c r="L12" s="282"/>
      <c r="M12" s="283"/>
      <c r="N12" s="283"/>
    </row>
    <row r="13" spans="2:14" ht="19.5" customHeight="1" thickBot="1">
      <c r="B13" s="629"/>
      <c r="C13" s="623"/>
      <c r="D13" s="376"/>
      <c r="E13" s="624"/>
      <c r="F13" s="624"/>
      <c r="G13" s="624"/>
      <c r="H13" s="625"/>
      <c r="I13" s="282"/>
      <c r="J13" s="282"/>
      <c r="K13" s="282"/>
      <c r="L13" s="282"/>
      <c r="M13" s="283"/>
      <c r="N13" s="283"/>
    </row>
    <row r="14" spans="2:18" ht="12.75" customHeight="1" thickBot="1" thickTop="1">
      <c r="B14" s="429"/>
      <c r="C14" s="429"/>
      <c r="D14" s="430"/>
      <c r="E14" s="429"/>
      <c r="F14" s="429"/>
      <c r="G14" s="429"/>
      <c r="H14" s="429"/>
      <c r="I14" s="430"/>
      <c r="J14" s="429"/>
      <c r="K14" s="429"/>
      <c r="L14" s="431"/>
      <c r="M14" s="429"/>
      <c r="N14" s="429"/>
      <c r="O14" s="429"/>
      <c r="P14" s="429"/>
      <c r="Q14" s="429"/>
      <c r="R14" s="429"/>
    </row>
    <row r="15" spans="1:18" s="287" customFormat="1" ht="10.5" customHeight="1" thickTop="1">
      <c r="A15" s="421"/>
      <c r="B15" s="694"/>
      <c r="C15" s="695"/>
      <c r="D15" s="695"/>
      <c r="E15" s="696"/>
      <c r="F15" s="695"/>
      <c r="G15" s="695"/>
      <c r="H15" s="695"/>
      <c r="I15" s="695"/>
      <c r="J15" s="696"/>
      <c r="K15" s="695"/>
      <c r="L15" s="695"/>
      <c r="M15" s="697"/>
      <c r="N15" s="432"/>
      <c r="O15" s="397"/>
      <c r="P15" s="397"/>
      <c r="Q15" s="397"/>
      <c r="R15" s="432"/>
    </row>
    <row r="16" spans="1:18" s="287" customFormat="1" ht="21.75" customHeight="1">
      <c r="A16" s="421"/>
      <c r="B16" s="698" t="s">
        <v>168</v>
      </c>
      <c r="C16" s="396"/>
      <c r="D16" s="396"/>
      <c r="E16" s="398"/>
      <c r="F16" s="396"/>
      <c r="G16" s="396"/>
      <c r="H16" s="396"/>
      <c r="I16" s="396"/>
      <c r="J16" s="398"/>
      <c r="K16" s="396"/>
      <c r="L16" s="396"/>
      <c r="M16" s="399"/>
      <c r="N16" s="433"/>
      <c r="O16" s="397"/>
      <c r="P16" s="397"/>
      <c r="Q16" s="397"/>
      <c r="R16" s="433"/>
    </row>
    <row r="17" spans="1:18" s="288" customFormat="1" ht="6" customHeight="1">
      <c r="A17" s="421"/>
      <c r="B17" s="699"/>
      <c r="C17" s="396"/>
      <c r="D17" s="396"/>
      <c r="E17" s="398"/>
      <c r="F17" s="396"/>
      <c r="G17" s="396"/>
      <c r="H17" s="396"/>
      <c r="I17" s="396"/>
      <c r="J17" s="398"/>
      <c r="K17" s="396"/>
      <c r="L17" s="396"/>
      <c r="M17" s="399"/>
      <c r="N17" s="433"/>
      <c r="O17" s="396"/>
      <c r="P17" s="396"/>
      <c r="Q17" s="396"/>
      <c r="R17" s="433"/>
    </row>
    <row r="18" spans="1:18" s="289" customFormat="1" ht="21.75" customHeight="1">
      <c r="A18" s="422"/>
      <c r="B18" s="700" t="s">
        <v>169</v>
      </c>
      <c r="C18" s="400"/>
      <c r="D18" s="400"/>
      <c r="E18" s="401"/>
      <c r="F18" s="402"/>
      <c r="G18" s="403"/>
      <c r="H18" s="403"/>
      <c r="I18" s="403"/>
      <c r="J18" s="404"/>
      <c r="K18" s="403"/>
      <c r="L18" s="403"/>
      <c r="M18" s="405"/>
      <c r="N18" s="701"/>
      <c r="O18" s="418">
        <f>IF(AND(O21&gt;0,O23&gt;0),"Enter mpg OR l/100km, not both!","")</f>
      </c>
      <c r="P18" s="419"/>
      <c r="Q18" s="402"/>
      <c r="R18" s="434"/>
    </row>
    <row r="19" spans="1:29" s="291" customFormat="1" ht="12.75" customHeight="1">
      <c r="A19" s="423"/>
      <c r="B19" s="702" t="s">
        <v>175</v>
      </c>
      <c r="C19" s="408"/>
      <c r="D19" s="406"/>
      <c r="E19" s="407"/>
      <c r="F19" s="408"/>
      <c r="G19" s="408"/>
      <c r="H19" s="408"/>
      <c r="I19" s="408"/>
      <c r="J19" s="409"/>
      <c r="K19" s="408"/>
      <c r="L19" s="408"/>
      <c r="M19" s="410"/>
      <c r="N19" s="435"/>
      <c r="O19" s="417" t="s">
        <v>748</v>
      </c>
      <c r="P19" s="408"/>
      <c r="Q19" s="646"/>
      <c r="R19" s="435"/>
      <c r="S19" s="290"/>
      <c r="T19" s="290"/>
      <c r="U19" s="290"/>
      <c r="V19" s="290"/>
      <c r="W19" s="290"/>
      <c r="X19" s="290"/>
      <c r="Y19" s="290"/>
      <c r="Z19" s="290"/>
      <c r="AA19" s="290"/>
      <c r="AB19" s="290"/>
      <c r="AC19" s="290"/>
    </row>
    <row r="20" spans="1:86" s="292" customFormat="1" ht="14.25" customHeight="1" thickBot="1">
      <c r="A20" s="424"/>
      <c r="B20" s="703"/>
      <c r="C20" s="413"/>
      <c r="D20" s="861" t="s">
        <v>409</v>
      </c>
      <c r="E20" s="862" t="s">
        <v>410</v>
      </c>
      <c r="F20" s="861" t="s">
        <v>414</v>
      </c>
      <c r="G20" s="861" t="s">
        <v>411</v>
      </c>
      <c r="H20" s="861" t="s">
        <v>816</v>
      </c>
      <c r="I20" s="861" t="s">
        <v>817</v>
      </c>
      <c r="J20" s="862" t="s">
        <v>413</v>
      </c>
      <c r="K20" s="861" t="s">
        <v>818</v>
      </c>
      <c r="L20" s="861" t="s">
        <v>819</v>
      </c>
      <c r="M20" s="863" t="s">
        <v>875</v>
      </c>
      <c r="N20" s="436"/>
      <c r="O20" s="691">
        <v>1000</v>
      </c>
      <c r="P20" s="683" t="s">
        <v>749</v>
      </c>
      <c r="Q20" s="647" t="s">
        <v>753</v>
      </c>
      <c r="R20" s="436"/>
      <c r="S20" s="294"/>
      <c r="T20" s="294"/>
      <c r="U20" s="294"/>
      <c r="V20" s="294"/>
      <c r="W20" s="294"/>
      <c r="X20" s="294"/>
      <c r="Y20" s="294"/>
      <c r="Z20" s="294"/>
      <c r="AA20" s="294"/>
      <c r="AB20" s="294"/>
      <c r="AC20" s="294"/>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row>
    <row r="21" spans="1:86" s="297" customFormat="1" ht="14.25" customHeight="1" thickBot="1" thickTop="1">
      <c r="A21" s="425"/>
      <c r="B21" s="446"/>
      <c r="C21" s="414"/>
      <c r="D21" s="1178" t="s">
        <v>176</v>
      </c>
      <c r="E21" s="377" t="s">
        <v>179</v>
      </c>
      <c r="F21" s="378"/>
      <c r="G21" s="379"/>
      <c r="H21" s="380" t="s">
        <v>181</v>
      </c>
      <c r="I21" s="378"/>
      <c r="J21" s="381"/>
      <c r="K21" s="380" t="s">
        <v>187</v>
      </c>
      <c r="L21" s="379"/>
      <c r="M21" s="382" t="s">
        <v>189</v>
      </c>
      <c r="N21" s="704"/>
      <c r="O21" s="692">
        <v>0</v>
      </c>
      <c r="P21" s="685" t="s">
        <v>750</v>
      </c>
      <c r="Q21" s="647"/>
      <c r="R21" s="437"/>
      <c r="S21" s="296"/>
      <c r="T21" s="296"/>
      <c r="U21" s="296"/>
      <c r="V21" s="296"/>
      <c r="W21" s="296"/>
      <c r="X21" s="296"/>
      <c r="Y21" s="296"/>
      <c r="Z21" s="296"/>
      <c r="AA21" s="296"/>
      <c r="AB21" s="296"/>
      <c r="AC21" s="296"/>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row>
    <row r="22" spans="1:86" s="297" customFormat="1" ht="14.25" thickBot="1">
      <c r="A22" s="425"/>
      <c r="B22" s="446"/>
      <c r="C22" s="414"/>
      <c r="D22" s="1179"/>
      <c r="E22" s="1165" t="s">
        <v>179</v>
      </c>
      <c r="F22" s="383" t="s">
        <v>177</v>
      </c>
      <c r="G22" s="383"/>
      <c r="H22" s="380" t="s">
        <v>182</v>
      </c>
      <c r="I22" s="379"/>
      <c r="J22" s="384" t="s">
        <v>183</v>
      </c>
      <c r="K22" s="380" t="s">
        <v>188</v>
      </c>
      <c r="L22" s="379"/>
      <c r="M22" s="382" t="s">
        <v>190</v>
      </c>
      <c r="N22" s="704"/>
      <c r="O22" s="416"/>
      <c r="P22" s="293" t="s">
        <v>751</v>
      </c>
      <c r="Q22" s="647" t="s">
        <v>754</v>
      </c>
      <c r="R22" s="437"/>
      <c r="S22" s="296"/>
      <c r="T22" s="296"/>
      <c r="U22" s="296"/>
      <c r="V22" s="296"/>
      <c r="W22" s="296"/>
      <c r="X22" s="296"/>
      <c r="Y22" s="296"/>
      <c r="Z22" s="296"/>
      <c r="AA22" s="296"/>
      <c r="AB22" s="296"/>
      <c r="AC22" s="296"/>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row>
    <row r="23" spans="1:86" s="297" customFormat="1" ht="14.25" customHeight="1" thickBot="1">
      <c r="A23" s="425"/>
      <c r="B23" s="446"/>
      <c r="C23" s="414"/>
      <c r="D23" s="1180" t="s">
        <v>514</v>
      </c>
      <c r="E23" s="1166"/>
      <c r="F23" s="385" t="s">
        <v>210</v>
      </c>
      <c r="G23" s="1168" t="s">
        <v>178</v>
      </c>
      <c r="H23" s="385" t="s">
        <v>820</v>
      </c>
      <c r="I23" s="385" t="s">
        <v>185</v>
      </c>
      <c r="J23" s="384" t="s">
        <v>184</v>
      </c>
      <c r="K23" s="385" t="s">
        <v>820</v>
      </c>
      <c r="L23" s="385" t="s">
        <v>185</v>
      </c>
      <c r="M23" s="382" t="s">
        <v>821</v>
      </c>
      <c r="N23" s="704"/>
      <c r="O23" s="693">
        <v>30</v>
      </c>
      <c r="P23" s="684" t="s">
        <v>752</v>
      </c>
      <c r="Q23" s="647"/>
      <c r="R23" s="437"/>
      <c r="S23" s="296"/>
      <c r="T23" s="296"/>
      <c r="U23" s="296"/>
      <c r="V23" s="296"/>
      <c r="W23" s="296"/>
      <c r="X23" s="296"/>
      <c r="Y23" s="296"/>
      <c r="Z23" s="296"/>
      <c r="AA23" s="296"/>
      <c r="AB23" s="296"/>
      <c r="AC23" s="296"/>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284"/>
      <c r="BZ23" s="284"/>
      <c r="CA23" s="284"/>
      <c r="CB23" s="284"/>
      <c r="CC23" s="284"/>
      <c r="CD23" s="284"/>
      <c r="CE23" s="284"/>
      <c r="CF23" s="284"/>
      <c r="CG23" s="284"/>
      <c r="CH23" s="284"/>
    </row>
    <row r="24" spans="1:86" s="297" customFormat="1" ht="16.5" customHeight="1" thickBot="1" thickTop="1">
      <c r="A24" s="425"/>
      <c r="B24" s="446"/>
      <c r="C24" s="414"/>
      <c r="D24" s="1181"/>
      <c r="E24" s="1167"/>
      <c r="F24" s="386" t="s">
        <v>266</v>
      </c>
      <c r="G24" s="1169"/>
      <c r="H24" s="386" t="s">
        <v>186</v>
      </c>
      <c r="I24" s="386" t="s">
        <v>186</v>
      </c>
      <c r="J24" s="387" t="s">
        <v>852</v>
      </c>
      <c r="K24" s="386" t="s">
        <v>547</v>
      </c>
      <c r="L24" s="386" t="s">
        <v>365</v>
      </c>
      <c r="M24" s="388" t="s">
        <v>191</v>
      </c>
      <c r="N24" s="705"/>
      <c r="O24" s="691">
        <f>IF(AND(O21&gt;0,O23&gt;0),"Error",IF(O21&gt;0,O20/O21,O20/100*O23))</f>
        <v>300</v>
      </c>
      <c r="P24" s="683" t="str">
        <f>IF(O21&gt;0,"Gallons used","litres used")</f>
        <v>litres used</v>
      </c>
      <c r="Q24" s="647" t="s">
        <v>755</v>
      </c>
      <c r="R24" s="437"/>
      <c r="S24" s="296"/>
      <c r="T24" s="296"/>
      <c r="U24" s="296"/>
      <c r="V24" s="296"/>
      <c r="W24" s="296"/>
      <c r="X24" s="296"/>
      <c r="Y24" s="296"/>
      <c r="Z24" s="296"/>
      <c r="AA24" s="296"/>
      <c r="AB24" s="296"/>
      <c r="AC24" s="296"/>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4"/>
      <c r="BY24" s="284"/>
      <c r="BZ24" s="284"/>
      <c r="CA24" s="284"/>
      <c r="CB24" s="284"/>
      <c r="CC24" s="284"/>
      <c r="CD24" s="284"/>
      <c r="CE24" s="284"/>
      <c r="CF24" s="284"/>
      <c r="CG24" s="284"/>
      <c r="CH24" s="284"/>
    </row>
    <row r="25" spans="1:86" s="298" customFormat="1" ht="20.25" customHeight="1" thickBot="1" thickTop="1">
      <c r="A25" s="426"/>
      <c r="B25" s="706"/>
      <c r="C25" s="411"/>
      <c r="D25" s="860"/>
      <c r="E25" s="390"/>
      <c r="F25" s="391"/>
      <c r="G25" s="391"/>
      <c r="H25" s="389"/>
      <c r="I25" s="389"/>
      <c r="J25" s="392"/>
      <c r="K25" s="389"/>
      <c r="L25" s="393"/>
      <c r="M25" s="394"/>
      <c r="N25" s="438"/>
      <c r="O25" s="420">
        <f>IF(AND(O21&gt;0,O23&gt;0),"Enter mpg OR l/100km, not both!","")</f>
      </c>
      <c r="P25" s="412"/>
      <c r="Q25" s="412"/>
      <c r="R25" s="438"/>
      <c r="S25" s="656"/>
      <c r="T25" s="649"/>
      <c r="U25" s="650"/>
      <c r="V25" s="651"/>
      <c r="W25" s="652"/>
      <c r="X25" s="652"/>
      <c r="Y25" s="653"/>
      <c r="Z25" s="652"/>
      <c r="AA25" s="654"/>
      <c r="AB25" s="652"/>
      <c r="AC25" s="655"/>
      <c r="AD25" s="299"/>
      <c r="AE25" s="299"/>
      <c r="AF25" s="299"/>
      <c r="AG25" s="960"/>
      <c r="AH25" s="960"/>
      <c r="AI25" s="960"/>
      <c r="AJ25" s="960"/>
      <c r="AK25" s="960"/>
      <c r="AL25" s="960"/>
      <c r="AM25" s="960"/>
      <c r="AN25" s="960"/>
      <c r="AO25" s="960"/>
      <c r="AP25" s="960"/>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row>
    <row r="26" spans="1:42" s="300" customFormat="1" ht="15" customHeight="1" thickBot="1">
      <c r="A26" s="427"/>
      <c r="B26" s="707"/>
      <c r="C26" s="708" t="s">
        <v>180</v>
      </c>
      <c r="D26" s="953" t="s">
        <v>515</v>
      </c>
      <c r="E26" s="953" t="s">
        <v>843</v>
      </c>
      <c r="F26" s="954" t="s">
        <v>170</v>
      </c>
      <c r="G26" s="955">
        <v>30000</v>
      </c>
      <c r="H26" s="956">
        <v>0.0371</v>
      </c>
      <c r="I26" s="953"/>
      <c r="J26" s="889">
        <f aca="true" t="shared" si="0" ref="J26:J34">G26*IF(I26=0,H26,I26)</f>
        <v>1113</v>
      </c>
      <c r="K26" s="957">
        <v>74</v>
      </c>
      <c r="L26" s="953"/>
      <c r="M26" s="958">
        <f aca="true" t="shared" si="1" ref="M26:M36">J26*IF(L26=0,K26,L26)/1000</f>
        <v>82.362</v>
      </c>
      <c r="N26" s="709"/>
      <c r="O26" s="206"/>
      <c r="P26" s="206"/>
      <c r="Q26" s="206"/>
      <c r="R26" s="439"/>
      <c r="S26" s="657"/>
      <c r="T26" s="577"/>
      <c r="U26" s="578"/>
      <c r="V26" s="579"/>
      <c r="W26" s="412"/>
      <c r="X26" s="412"/>
      <c r="Y26" s="580"/>
      <c r="Z26" s="412"/>
      <c r="AA26" s="581"/>
      <c r="AB26" s="412"/>
      <c r="AC26" s="438"/>
      <c r="AG26" s="961"/>
      <c r="AH26" s="962"/>
      <c r="AI26" s="962"/>
      <c r="AJ26" s="962"/>
      <c r="AK26" s="962"/>
      <c r="AL26" s="962"/>
      <c r="AM26" s="962"/>
      <c r="AN26" s="962"/>
      <c r="AO26" s="962"/>
      <c r="AP26" s="963"/>
    </row>
    <row r="27" spans="1:42" s="301" customFormat="1" ht="15" customHeight="1">
      <c r="A27" s="428"/>
      <c r="B27" s="710"/>
      <c r="C27" s="411"/>
      <c r="D27" s="302"/>
      <c r="E27" s="302"/>
      <c r="F27" s="302"/>
      <c r="G27" s="902"/>
      <c r="H27" s="1041"/>
      <c r="I27" s="1042"/>
      <c r="J27" s="889">
        <f t="shared" si="0"/>
        <v>0</v>
      </c>
      <c r="K27" s="864"/>
      <c r="L27" s="752"/>
      <c r="M27" s="864">
        <f t="shared" si="1"/>
        <v>0</v>
      </c>
      <c r="N27" s="711"/>
      <c r="O27" s="206"/>
      <c r="P27" s="206"/>
      <c r="Q27" s="206"/>
      <c r="R27" s="440"/>
      <c r="S27" s="658"/>
      <c r="T27" s="446"/>
      <c r="U27" s="447" t="s">
        <v>725</v>
      </c>
      <c r="V27" s="448"/>
      <c r="W27" s="447"/>
      <c r="X27" s="447"/>
      <c r="Y27" s="447"/>
      <c r="Z27" s="414"/>
      <c r="AA27" s="449"/>
      <c r="AB27" s="414"/>
      <c r="AC27" s="437"/>
      <c r="AD27" s="1037" t="s">
        <v>266</v>
      </c>
      <c r="AF27" s="950"/>
      <c r="AG27" s="211" t="s">
        <v>210</v>
      </c>
      <c r="AH27" s="951" t="s">
        <v>441</v>
      </c>
      <c r="AI27" s="951" t="s">
        <v>442</v>
      </c>
      <c r="AJ27" s="951" t="s">
        <v>809</v>
      </c>
      <c r="AK27" s="951" t="s">
        <v>810</v>
      </c>
      <c r="AL27" s="951" t="s">
        <v>844</v>
      </c>
      <c r="AM27" s="951" t="s">
        <v>545</v>
      </c>
      <c r="AN27" s="951" t="s">
        <v>813</v>
      </c>
      <c r="AO27" s="951" t="s">
        <v>811</v>
      </c>
      <c r="AP27" s="951" t="s">
        <v>812</v>
      </c>
    </row>
    <row r="28" spans="1:42" s="301" customFormat="1" ht="15" customHeight="1">
      <c r="A28" s="428"/>
      <c r="B28" s="710"/>
      <c r="C28" s="411"/>
      <c r="D28" s="303"/>
      <c r="E28" s="302"/>
      <c r="F28" s="302"/>
      <c r="G28" s="902"/>
      <c r="H28" s="1041"/>
      <c r="I28" s="1043"/>
      <c r="J28" s="889">
        <f t="shared" si="0"/>
        <v>0</v>
      </c>
      <c r="K28" s="864"/>
      <c r="L28" s="752"/>
      <c r="M28" s="864">
        <f t="shared" si="1"/>
        <v>0</v>
      </c>
      <c r="N28" s="711"/>
      <c r="O28" s="206"/>
      <c r="P28" s="206"/>
      <c r="Q28" s="206"/>
      <c r="R28" s="440"/>
      <c r="S28" s="659"/>
      <c r="T28" s="55"/>
      <c r="U28" s="275"/>
      <c r="V28" s="66"/>
      <c r="W28" s="63"/>
      <c r="X28" s="63"/>
      <c r="Y28" s="63"/>
      <c r="Z28" s="63"/>
      <c r="AA28" s="66"/>
      <c r="AB28" s="63"/>
      <c r="AC28" s="56"/>
      <c r="AD28" s="1036" t="s">
        <v>822</v>
      </c>
      <c r="AE28" s="296">
        <v>9</v>
      </c>
      <c r="AF28" s="950">
        <v>7</v>
      </c>
      <c r="AG28" s="304" t="s">
        <v>807</v>
      </c>
      <c r="AH28" s="856">
        <v>0.13020400000000001</v>
      </c>
      <c r="AI28" s="856">
        <v>0.1563824</v>
      </c>
      <c r="AJ28" s="856">
        <v>0.0344</v>
      </c>
      <c r="AK28" s="856">
        <v>43.56739773101807</v>
      </c>
      <c r="AL28" s="779" t="s">
        <v>406</v>
      </c>
      <c r="AM28" s="779" t="s">
        <v>406</v>
      </c>
      <c r="AN28" s="779" t="s">
        <v>406</v>
      </c>
      <c r="AO28" s="779" t="s">
        <v>406</v>
      </c>
      <c r="AP28" s="858">
        <v>69.25</v>
      </c>
    </row>
    <row r="29" spans="1:42" s="301" customFormat="1" ht="15" customHeight="1">
      <c r="A29" s="428"/>
      <c r="B29" s="710"/>
      <c r="C29" s="411"/>
      <c r="D29" s="303"/>
      <c r="E29" s="302"/>
      <c r="F29" s="302"/>
      <c r="G29" s="902"/>
      <c r="H29" s="1041"/>
      <c r="I29" s="1043"/>
      <c r="J29" s="889">
        <f t="shared" si="0"/>
        <v>0</v>
      </c>
      <c r="K29" s="864"/>
      <c r="L29" s="752"/>
      <c r="M29" s="864">
        <f t="shared" si="1"/>
        <v>0</v>
      </c>
      <c r="N29" s="711"/>
      <c r="O29" s="206"/>
      <c r="P29" s="206"/>
      <c r="Q29" s="206"/>
      <c r="R29" s="440"/>
      <c r="S29" s="659"/>
      <c r="T29" s="55"/>
      <c r="U29" s="441" t="s">
        <v>455</v>
      </c>
      <c r="V29" s="442"/>
      <c r="W29" s="443"/>
      <c r="X29" s="443" t="s">
        <v>740</v>
      </c>
      <c r="Y29" s="443" t="s">
        <v>740</v>
      </c>
      <c r="Z29" s="443"/>
      <c r="AA29" s="443" t="s">
        <v>740</v>
      </c>
      <c r="AB29" s="445" t="s">
        <v>742</v>
      </c>
      <c r="AC29" s="56"/>
      <c r="AD29" s="1036" t="s">
        <v>842</v>
      </c>
      <c r="AE29" s="296">
        <v>9</v>
      </c>
      <c r="AF29" s="950">
        <v>7</v>
      </c>
      <c r="AG29" s="304" t="s">
        <v>843</v>
      </c>
      <c r="AH29" s="856">
        <v>0.1404235</v>
      </c>
      <c r="AI29" s="856">
        <v>0.16865660000000002</v>
      </c>
      <c r="AJ29" s="856">
        <v>0.0371</v>
      </c>
      <c r="AK29" s="856">
        <v>44.16666666666667</v>
      </c>
      <c r="AL29" s="779" t="s">
        <v>406</v>
      </c>
      <c r="AM29" s="779" t="s">
        <v>406</v>
      </c>
      <c r="AN29" s="779" t="s">
        <v>406</v>
      </c>
      <c r="AO29" s="779" t="s">
        <v>406</v>
      </c>
      <c r="AP29" s="858">
        <v>74.01</v>
      </c>
    </row>
    <row r="30" spans="1:42" s="301" customFormat="1" ht="15" customHeight="1">
      <c r="A30" s="428"/>
      <c r="B30" s="710"/>
      <c r="C30" s="411"/>
      <c r="D30" s="303"/>
      <c r="E30" s="302"/>
      <c r="F30" s="302"/>
      <c r="G30" s="902"/>
      <c r="H30" s="1041"/>
      <c r="I30" s="1043"/>
      <c r="J30" s="889">
        <f t="shared" si="0"/>
        <v>0</v>
      </c>
      <c r="K30" s="864"/>
      <c r="L30" s="752"/>
      <c r="M30" s="864">
        <f t="shared" si="1"/>
        <v>0</v>
      </c>
      <c r="N30" s="711"/>
      <c r="O30" s="206"/>
      <c r="P30" s="206"/>
      <c r="Q30" s="206"/>
      <c r="R30" s="440"/>
      <c r="S30" s="659"/>
      <c r="T30" s="55"/>
      <c r="U30" s="441"/>
      <c r="V30" s="444" t="s">
        <v>814</v>
      </c>
      <c r="W30" s="444" t="s">
        <v>741</v>
      </c>
      <c r="X30" s="444" t="s">
        <v>862</v>
      </c>
      <c r="Y30" s="444" t="s">
        <v>863</v>
      </c>
      <c r="Z30" s="444" t="s">
        <v>741</v>
      </c>
      <c r="AA30" s="444" t="s">
        <v>743</v>
      </c>
      <c r="AB30" s="445" t="s">
        <v>744</v>
      </c>
      <c r="AC30" s="56"/>
      <c r="AD30" s="1036" t="s">
        <v>457</v>
      </c>
      <c r="AE30" s="296">
        <v>9</v>
      </c>
      <c r="AF30" s="950">
        <v>7</v>
      </c>
      <c r="AG30" s="304" t="s">
        <v>407</v>
      </c>
      <c r="AH30" s="779" t="s">
        <v>406</v>
      </c>
      <c r="AI30" s="779" t="s">
        <v>406</v>
      </c>
      <c r="AJ30" s="779" t="s">
        <v>406</v>
      </c>
      <c r="AK30" s="779" t="s">
        <v>406</v>
      </c>
      <c r="AL30" s="857">
        <f>0.43597*AM30</f>
        <v>0.022801231</v>
      </c>
      <c r="AM30" s="857">
        <f>52.3/1000</f>
        <v>0.0523</v>
      </c>
      <c r="AN30" s="779" t="s">
        <v>406</v>
      </c>
      <c r="AO30" s="779" t="s">
        <v>406</v>
      </c>
      <c r="AP30" s="859">
        <v>56.06</v>
      </c>
    </row>
    <row r="31" spans="1:42" s="301" customFormat="1" ht="15" customHeight="1">
      <c r="A31" s="428"/>
      <c r="B31" s="710"/>
      <c r="C31" s="411"/>
      <c r="D31" s="303"/>
      <c r="E31" s="302"/>
      <c r="F31" s="302"/>
      <c r="G31" s="902"/>
      <c r="H31" s="1041"/>
      <c r="I31" s="1043"/>
      <c r="J31" s="889">
        <f t="shared" si="0"/>
        <v>0</v>
      </c>
      <c r="K31" s="864"/>
      <c r="L31" s="752"/>
      <c r="M31" s="864">
        <f t="shared" si="1"/>
        <v>0</v>
      </c>
      <c r="N31" s="711"/>
      <c r="O31" s="206"/>
      <c r="P31" s="206"/>
      <c r="Q31" s="206"/>
      <c r="R31" s="440"/>
      <c r="S31" s="659"/>
      <c r="T31" s="55"/>
      <c r="U31" s="441"/>
      <c r="V31" s="444"/>
      <c r="W31" s="444"/>
      <c r="X31" s="444" t="s">
        <v>747</v>
      </c>
      <c r="Y31" s="444" t="s">
        <v>747</v>
      </c>
      <c r="Z31" s="444"/>
      <c r="AA31" s="444"/>
      <c r="AB31" s="445"/>
      <c r="AC31" s="56"/>
      <c r="AD31" s="1036" t="s">
        <v>458</v>
      </c>
      <c r="AE31" s="296">
        <v>9</v>
      </c>
      <c r="AF31" s="950">
        <v>7</v>
      </c>
      <c r="AG31" s="304" t="s">
        <v>524</v>
      </c>
      <c r="AH31" s="857">
        <v>0.0942</v>
      </c>
      <c r="AI31" s="853">
        <v>0.1131954</v>
      </c>
      <c r="AJ31" s="857">
        <v>0.0249</v>
      </c>
      <c r="AK31" s="779" t="s">
        <v>406</v>
      </c>
      <c r="AL31" s="857">
        <v>0.020856391182073844</v>
      </c>
      <c r="AM31" s="857">
        <v>0.04598</v>
      </c>
      <c r="AN31" s="779" t="s">
        <v>406</v>
      </c>
      <c r="AO31" s="779" t="s">
        <v>406</v>
      </c>
      <c r="AP31" s="857">
        <v>63.2</v>
      </c>
    </row>
    <row r="32" spans="1:42" s="301" customFormat="1" ht="15" customHeight="1">
      <c r="A32" s="428"/>
      <c r="B32" s="710"/>
      <c r="C32" s="411"/>
      <c r="D32" s="303"/>
      <c r="E32" s="302"/>
      <c r="F32" s="302"/>
      <c r="G32" s="902"/>
      <c r="H32" s="1041"/>
      <c r="I32" s="1043"/>
      <c r="J32" s="889">
        <f t="shared" si="0"/>
        <v>0</v>
      </c>
      <c r="K32" s="864"/>
      <c r="L32" s="752"/>
      <c r="M32" s="864">
        <f t="shared" si="1"/>
        <v>0</v>
      </c>
      <c r="N32" s="711"/>
      <c r="O32" s="206"/>
      <c r="P32" s="206"/>
      <c r="Q32" s="206"/>
      <c r="R32" s="440"/>
      <c r="S32" s="659"/>
      <c r="T32" s="55"/>
      <c r="U32" s="456" t="s">
        <v>726</v>
      </c>
      <c r="V32" s="48">
        <v>69.25</v>
      </c>
      <c r="W32" s="131">
        <v>0.0344</v>
      </c>
      <c r="X32" s="852">
        <v>0.13020400000000001</v>
      </c>
      <c r="Y32" s="852">
        <v>0.1563824</v>
      </c>
      <c r="Z32" s="131">
        <v>0.0344</v>
      </c>
      <c r="AA32" s="852">
        <v>43.56739773101807</v>
      </c>
      <c r="AB32" s="50">
        <v>6.59</v>
      </c>
      <c r="AC32" s="56"/>
      <c r="AD32" s="1036" t="s">
        <v>844</v>
      </c>
      <c r="AE32" s="296">
        <v>9</v>
      </c>
      <c r="AF32" s="950">
        <v>7</v>
      </c>
      <c r="AG32" s="304" t="s">
        <v>808</v>
      </c>
      <c r="AH32" s="856">
        <v>0.1434515</v>
      </c>
      <c r="AI32" s="857">
        <v>0.1722934</v>
      </c>
      <c r="AJ32" s="131">
        <v>0.0397</v>
      </c>
      <c r="AK32" s="856">
        <v>39.9535316595376</v>
      </c>
      <c r="AL32" s="779" t="s">
        <v>406</v>
      </c>
      <c r="AM32" s="779" t="s">
        <v>406</v>
      </c>
      <c r="AN32" s="857">
        <f>42*AH32</f>
        <v>6.0249630000000005</v>
      </c>
      <c r="AO32" s="779" t="s">
        <v>406</v>
      </c>
      <c r="AP32" s="858">
        <v>77.3</v>
      </c>
    </row>
    <row r="33" spans="1:42" s="301" customFormat="1" ht="15" customHeight="1">
      <c r="A33" s="428"/>
      <c r="B33" s="710"/>
      <c r="C33" s="411"/>
      <c r="D33" s="303"/>
      <c r="E33" s="302"/>
      <c r="F33" s="302"/>
      <c r="G33" s="902"/>
      <c r="H33" s="1041"/>
      <c r="I33" s="1043"/>
      <c r="J33" s="889">
        <f t="shared" si="0"/>
        <v>0</v>
      </c>
      <c r="K33" s="864"/>
      <c r="L33" s="752"/>
      <c r="M33" s="864">
        <f t="shared" si="1"/>
        <v>0</v>
      </c>
      <c r="N33" s="711"/>
      <c r="O33" s="415"/>
      <c r="P33" s="411"/>
      <c r="Q33" s="411"/>
      <c r="R33" s="440"/>
      <c r="S33" s="658"/>
      <c r="T33" s="446"/>
      <c r="U33" s="456" t="s">
        <v>536</v>
      </c>
      <c r="V33" s="48">
        <v>71.45</v>
      </c>
      <c r="W33" s="131">
        <v>0.0357</v>
      </c>
      <c r="X33" s="852">
        <v>0.1351245</v>
      </c>
      <c r="Y33" s="853">
        <v>0.16229220000000003</v>
      </c>
      <c r="Z33" s="131">
        <v>0.0357</v>
      </c>
      <c r="AA33" s="852">
        <v>44.076805647071104</v>
      </c>
      <c r="AB33" s="50">
        <v>6.76</v>
      </c>
      <c r="AC33" s="437"/>
      <c r="AD33" s="1036" t="s">
        <v>545</v>
      </c>
      <c r="AE33" s="296">
        <v>9</v>
      </c>
      <c r="AF33" s="950">
        <v>7</v>
      </c>
      <c r="AG33" s="304" t="s">
        <v>759</v>
      </c>
      <c r="AH33" s="779" t="s">
        <v>406</v>
      </c>
      <c r="AI33" s="779" t="s">
        <v>406</v>
      </c>
      <c r="AJ33" s="779" t="s">
        <v>406</v>
      </c>
      <c r="AK33" s="857">
        <v>23.53</v>
      </c>
      <c r="AL33" s="779" t="s">
        <v>406</v>
      </c>
      <c r="AM33" s="779" t="s">
        <v>406</v>
      </c>
      <c r="AN33" s="779" t="s">
        <v>406</v>
      </c>
      <c r="AO33" s="857">
        <f>0.907*23.53</f>
        <v>21.341710000000003</v>
      </c>
      <c r="AP33" s="859">
        <v>94.53</v>
      </c>
    </row>
    <row r="34" spans="1:32" s="301" customFormat="1" ht="15" customHeight="1">
      <c r="A34" s="428"/>
      <c r="B34" s="710"/>
      <c r="C34" s="411"/>
      <c r="D34" s="303"/>
      <c r="E34" s="302"/>
      <c r="F34" s="302"/>
      <c r="G34" s="902"/>
      <c r="H34" s="1041"/>
      <c r="I34" s="1043"/>
      <c r="J34" s="889">
        <f t="shared" si="0"/>
        <v>0</v>
      </c>
      <c r="K34" s="864"/>
      <c r="L34" s="752"/>
      <c r="M34" s="864">
        <f t="shared" si="1"/>
        <v>0</v>
      </c>
      <c r="N34" s="711"/>
      <c r="O34" s="415"/>
      <c r="P34" s="411"/>
      <c r="Q34" s="411"/>
      <c r="R34" s="440"/>
      <c r="S34" s="658"/>
      <c r="T34" s="446"/>
      <c r="U34" s="457" t="s">
        <v>727</v>
      </c>
      <c r="V34" s="48" t="s">
        <v>392</v>
      </c>
      <c r="W34" s="131"/>
      <c r="X34" s="131"/>
      <c r="Y34" s="131"/>
      <c r="Z34" s="131"/>
      <c r="AA34" s="131">
        <v>44.59</v>
      </c>
      <c r="AB34" s="50"/>
      <c r="AC34" s="437"/>
      <c r="AD34" s="1036" t="s">
        <v>813</v>
      </c>
      <c r="AE34" s="952">
        <v>9</v>
      </c>
      <c r="AF34" s="950">
        <v>7</v>
      </c>
    </row>
    <row r="35" spans="1:32" s="301" customFormat="1" ht="15" customHeight="1">
      <c r="A35" s="428"/>
      <c r="B35" s="710"/>
      <c r="C35" s="411"/>
      <c r="D35" s="303"/>
      <c r="E35" s="302"/>
      <c r="F35" s="302"/>
      <c r="G35" s="902"/>
      <c r="H35" s="1041"/>
      <c r="I35" s="1043"/>
      <c r="J35" s="889">
        <f>G35*IF(I35=0,H35,I35)</f>
        <v>0</v>
      </c>
      <c r="K35" s="864"/>
      <c r="L35" s="752"/>
      <c r="M35" s="864">
        <f t="shared" si="1"/>
        <v>0</v>
      </c>
      <c r="N35" s="711"/>
      <c r="O35" s="415"/>
      <c r="P35" s="411"/>
      <c r="Q35" s="411"/>
      <c r="R35" s="440"/>
      <c r="S35" s="658"/>
      <c r="T35" s="446"/>
      <c r="U35" s="457" t="s">
        <v>728</v>
      </c>
      <c r="V35" s="48" t="s">
        <v>393</v>
      </c>
      <c r="W35" s="131">
        <v>0.03433045487364621</v>
      </c>
      <c r="X35" s="852">
        <v>0.1299407716967509</v>
      </c>
      <c r="Y35" s="852">
        <v>0.15606624785559567</v>
      </c>
      <c r="Z35" s="131">
        <v>0.03433045487364621</v>
      </c>
      <c r="AA35" s="131"/>
      <c r="AB35" s="50"/>
      <c r="AC35" s="437"/>
      <c r="AD35" s="1036" t="s">
        <v>811</v>
      </c>
      <c r="AE35" s="952">
        <v>9</v>
      </c>
      <c r="AF35" s="950">
        <v>7</v>
      </c>
    </row>
    <row r="36" spans="1:32" s="301" customFormat="1" ht="15" customHeight="1">
      <c r="A36" s="428"/>
      <c r="B36" s="710"/>
      <c r="C36" s="411"/>
      <c r="D36" s="303"/>
      <c r="E36" s="302"/>
      <c r="F36" s="302"/>
      <c r="G36" s="902"/>
      <c r="H36" s="1041"/>
      <c r="I36" s="1043"/>
      <c r="J36" s="889">
        <f>G36*IF(I36=0,H36,I36)</f>
        <v>0</v>
      </c>
      <c r="K36" s="864"/>
      <c r="L36" s="752"/>
      <c r="M36" s="864">
        <f t="shared" si="1"/>
        <v>0</v>
      </c>
      <c r="N36" s="711"/>
      <c r="O36" s="415"/>
      <c r="P36" s="411"/>
      <c r="Q36" s="411"/>
      <c r="R36" s="440"/>
      <c r="S36" s="658"/>
      <c r="T36" s="446"/>
      <c r="U36" s="457" t="s">
        <v>843</v>
      </c>
      <c r="V36" s="48">
        <v>74.01</v>
      </c>
      <c r="W36" s="131">
        <v>0.0371</v>
      </c>
      <c r="X36" s="852">
        <v>0.1404235</v>
      </c>
      <c r="Y36" s="853">
        <v>0.16865660000000002</v>
      </c>
      <c r="Z36" s="131">
        <v>0.0371</v>
      </c>
      <c r="AA36" s="852">
        <v>44.16666666666667</v>
      </c>
      <c r="AB36" s="50">
        <v>7.4906630581867395</v>
      </c>
      <c r="AC36" s="437"/>
      <c r="AE36" s="950">
        <v>9</v>
      </c>
      <c r="AF36" s="950">
        <v>7</v>
      </c>
    </row>
    <row r="37" spans="1:32" s="301" customFormat="1" ht="12.75">
      <c r="A37" s="428"/>
      <c r="B37" s="710"/>
      <c r="C37" s="411"/>
      <c r="D37" s="303"/>
      <c r="E37" s="140" t="s">
        <v>211</v>
      </c>
      <c r="F37" s="302"/>
      <c r="G37" s="902"/>
      <c r="H37" s="1041"/>
      <c r="I37" s="1043"/>
      <c r="J37" s="889"/>
      <c r="K37" s="864"/>
      <c r="L37" s="752"/>
      <c r="M37" s="864"/>
      <c r="N37" s="711"/>
      <c r="O37" s="415"/>
      <c r="P37" s="411"/>
      <c r="Q37" s="411"/>
      <c r="R37" s="440"/>
      <c r="S37" s="658"/>
      <c r="T37" s="446"/>
      <c r="U37" s="456" t="s">
        <v>729</v>
      </c>
      <c r="V37" s="48">
        <v>74.01</v>
      </c>
      <c r="W37" s="131">
        <v>0.0371</v>
      </c>
      <c r="X37" s="852">
        <v>0.1404235</v>
      </c>
      <c r="Y37" s="854">
        <v>0.16865660000000002</v>
      </c>
      <c r="Z37" s="131">
        <v>0.0371</v>
      </c>
      <c r="AA37" s="852">
        <v>43.92111786186243</v>
      </c>
      <c r="AB37" s="50">
        <v>7.05</v>
      </c>
      <c r="AC37" s="437"/>
      <c r="AE37" s="950">
        <v>9</v>
      </c>
      <c r="AF37" s="950">
        <v>7</v>
      </c>
    </row>
    <row r="38" spans="1:29" s="301" customFormat="1" ht="12.75">
      <c r="A38" s="428"/>
      <c r="B38" s="710"/>
      <c r="C38" s="411"/>
      <c r="D38" s="305"/>
      <c r="E38" s="140" t="s">
        <v>211</v>
      </c>
      <c r="F38" s="302"/>
      <c r="G38" s="902"/>
      <c r="H38" s="1041"/>
      <c r="I38" s="1043"/>
      <c r="J38" s="889"/>
      <c r="K38" s="864"/>
      <c r="L38" s="752"/>
      <c r="M38" s="864"/>
      <c r="N38" s="711"/>
      <c r="O38" s="415"/>
      <c r="P38" s="411"/>
      <c r="Q38" s="411"/>
      <c r="R38" s="440"/>
      <c r="S38" s="658"/>
      <c r="T38" s="446"/>
      <c r="U38" s="456" t="s">
        <v>730</v>
      </c>
      <c r="V38" s="48">
        <v>74.01</v>
      </c>
      <c r="W38" s="131">
        <v>0.0371</v>
      </c>
      <c r="X38" s="852">
        <v>0.1404235</v>
      </c>
      <c r="Y38" s="854">
        <v>0.16865660000000002</v>
      </c>
      <c r="Z38" s="131">
        <v>0.0371</v>
      </c>
      <c r="AA38" s="852">
        <v>43.92111786186243</v>
      </c>
      <c r="AB38" s="50">
        <v>7.05</v>
      </c>
      <c r="AC38" s="56"/>
    </row>
    <row r="39" spans="1:29" s="301" customFormat="1" ht="12.75">
      <c r="A39" s="428"/>
      <c r="B39" s="710"/>
      <c r="C39" s="411"/>
      <c r="D39" s="898"/>
      <c r="E39" s="890"/>
      <c r="F39" s="890"/>
      <c r="G39" s="891"/>
      <c r="H39" s="892"/>
      <c r="I39" s="893"/>
      <c r="J39" s="894"/>
      <c r="K39" s="899"/>
      <c r="L39" s="901"/>
      <c r="M39" s="899"/>
      <c r="N39" s="711"/>
      <c r="O39" s="415"/>
      <c r="P39" s="411"/>
      <c r="Q39" s="411"/>
      <c r="R39" s="440"/>
      <c r="S39" s="658"/>
      <c r="T39" s="446"/>
      <c r="U39" s="456" t="s">
        <v>731</v>
      </c>
      <c r="V39" s="48">
        <v>74.01</v>
      </c>
      <c r="W39" s="131">
        <v>0.0379</v>
      </c>
      <c r="X39" s="852">
        <v>0.1434515</v>
      </c>
      <c r="Y39" s="852">
        <v>0.1722934</v>
      </c>
      <c r="Z39" s="131">
        <v>0.0379</v>
      </c>
      <c r="AA39" s="852"/>
      <c r="AB39" s="50"/>
      <c r="AC39" s="56"/>
    </row>
    <row r="40" spans="1:29" s="301" customFormat="1" ht="12.75">
      <c r="A40" s="428"/>
      <c r="B40" s="710"/>
      <c r="C40" s="411"/>
      <c r="D40" s="895"/>
      <c r="E40" s="896"/>
      <c r="F40" s="896"/>
      <c r="G40" s="897"/>
      <c r="H40" s="1199" t="s">
        <v>192</v>
      </c>
      <c r="I40" s="1200"/>
      <c r="J40" s="1200"/>
      <c r="K40" s="1200"/>
      <c r="L40" s="1200"/>
      <c r="M40" s="900">
        <f>SUM(M27:M39)</f>
        <v>0</v>
      </c>
      <c r="N40" s="711"/>
      <c r="O40" s="415"/>
      <c r="P40" s="411"/>
      <c r="Q40" s="411"/>
      <c r="R40" s="440"/>
      <c r="S40" s="658"/>
      <c r="T40" s="446"/>
      <c r="U40" s="456" t="s">
        <v>732</v>
      </c>
      <c r="V40" s="48">
        <v>77.3</v>
      </c>
      <c r="W40" s="131">
        <v>0.0397</v>
      </c>
      <c r="X40" s="852">
        <v>0.1502645</v>
      </c>
      <c r="Y40" s="853">
        <v>0.1804762</v>
      </c>
      <c r="Z40" s="131">
        <v>0.0397</v>
      </c>
      <c r="AA40" s="852">
        <v>39.9535316595376</v>
      </c>
      <c r="AB40" s="50">
        <v>8.293234100135319</v>
      </c>
      <c r="AC40" s="56"/>
    </row>
    <row r="41" spans="1:29" s="301" customFormat="1" ht="13.5" thickBot="1">
      <c r="A41" s="428"/>
      <c r="B41" s="710"/>
      <c r="C41" s="411"/>
      <c r="D41" s="893"/>
      <c r="E41" s="890"/>
      <c r="F41" s="890"/>
      <c r="G41" s="891"/>
      <c r="H41" s="892"/>
      <c r="I41" s="893"/>
      <c r="J41" s="894"/>
      <c r="K41" s="894"/>
      <c r="L41" s="894"/>
      <c r="M41" s="894"/>
      <c r="N41" s="711"/>
      <c r="O41" s="415"/>
      <c r="P41" s="411"/>
      <c r="Q41" s="411"/>
      <c r="R41" s="440"/>
      <c r="S41" s="658"/>
      <c r="T41" s="446"/>
      <c r="U41" s="456" t="s">
        <v>733</v>
      </c>
      <c r="V41" s="48">
        <v>77.3</v>
      </c>
      <c r="W41" s="131">
        <v>0.0405</v>
      </c>
      <c r="X41" s="852">
        <v>0.1532925</v>
      </c>
      <c r="Y41" s="852">
        <v>0.18411300000000003</v>
      </c>
      <c r="Z41" s="131">
        <v>0.0405</v>
      </c>
      <c r="AA41" s="852">
        <v>40.758640609855746</v>
      </c>
      <c r="AB41" s="50">
        <v>8.293234100135319</v>
      </c>
      <c r="AC41" s="437"/>
    </row>
    <row r="42" spans="1:29" s="299" customFormat="1" ht="13.5" thickBot="1">
      <c r="A42" s="426"/>
      <c r="B42" s="706"/>
      <c r="C42" s="411"/>
      <c r="D42" s="411"/>
      <c r="E42" s="411"/>
      <c r="F42" s="411"/>
      <c r="G42" s="411"/>
      <c r="H42" s="411"/>
      <c r="I42" s="411"/>
      <c r="J42" s="411"/>
      <c r="K42" s="411"/>
      <c r="L42" s="411"/>
      <c r="M42" s="411"/>
      <c r="N42" s="438"/>
      <c r="O42" s="412"/>
      <c r="P42" s="412"/>
      <c r="Q42" s="412"/>
      <c r="R42" s="438"/>
      <c r="S42" s="658"/>
      <c r="T42" s="446"/>
      <c r="U42" s="456" t="s">
        <v>524</v>
      </c>
      <c r="V42" s="48">
        <v>63.2</v>
      </c>
      <c r="W42" s="131">
        <v>0.0249</v>
      </c>
      <c r="X42" s="852">
        <v>0.0942465</v>
      </c>
      <c r="Y42" s="853">
        <v>0.1131954</v>
      </c>
      <c r="Z42" s="131">
        <v>0.0249</v>
      </c>
      <c r="AA42" s="852">
        <v>45.97793952639744</v>
      </c>
      <c r="AB42" s="50">
        <v>4.52</v>
      </c>
      <c r="AC42" s="437"/>
    </row>
    <row r="43" spans="1:29" s="301" customFormat="1" ht="17.25" customHeight="1">
      <c r="A43" s="428"/>
      <c r="B43" s="710"/>
      <c r="C43" s="411"/>
      <c r="D43" s="411"/>
      <c r="E43" s="411"/>
      <c r="F43" s="411"/>
      <c r="G43" s="411"/>
      <c r="H43" s="411"/>
      <c r="I43" s="411"/>
      <c r="J43" s="411"/>
      <c r="K43" s="411"/>
      <c r="L43" s="411"/>
      <c r="M43" s="411"/>
      <c r="N43" s="711"/>
      <c r="O43" s="415"/>
      <c r="P43" s="411"/>
      <c r="Q43" s="411"/>
      <c r="R43" s="440"/>
      <c r="S43" s="658"/>
      <c r="T43" s="446"/>
      <c r="U43" s="458" t="s">
        <v>244</v>
      </c>
      <c r="V43" s="48">
        <v>73.28</v>
      </c>
      <c r="W43" s="131">
        <v>0.0382</v>
      </c>
      <c r="X43" s="131"/>
      <c r="Y43" s="131"/>
      <c r="Z43" s="131">
        <v>0.0382</v>
      </c>
      <c r="AA43" s="131"/>
      <c r="AB43" s="50"/>
      <c r="AC43" s="437"/>
    </row>
    <row r="44" spans="1:29" s="301" customFormat="1" ht="15.75" customHeight="1">
      <c r="A44" s="428"/>
      <c r="B44" s="710"/>
      <c r="C44" s="411"/>
      <c r="D44" s="411"/>
      <c r="E44" s="411"/>
      <c r="F44" s="411"/>
      <c r="G44" s="411"/>
      <c r="H44" s="411"/>
      <c r="I44" s="411"/>
      <c r="J44" s="411"/>
      <c r="K44" s="411"/>
      <c r="L44" s="411"/>
      <c r="M44" s="411"/>
      <c r="N44" s="711"/>
      <c r="O44" s="415"/>
      <c r="P44" s="411"/>
      <c r="Q44" s="411"/>
      <c r="R44" s="440"/>
      <c r="S44" s="658"/>
      <c r="T44" s="446"/>
      <c r="U44" s="458" t="s">
        <v>490</v>
      </c>
      <c r="V44" s="48">
        <v>98.3</v>
      </c>
      <c r="W44" s="131" t="s">
        <v>548</v>
      </c>
      <c r="X44" s="131"/>
      <c r="Y44" s="131"/>
      <c r="Z44" s="131"/>
      <c r="AA44" s="131">
        <v>28.6</v>
      </c>
      <c r="AB44" s="50"/>
      <c r="AC44" s="437"/>
    </row>
    <row r="45" spans="1:29" s="301" customFormat="1" ht="16.5" customHeight="1">
      <c r="A45" s="428"/>
      <c r="B45" s="710"/>
      <c r="C45" s="411"/>
      <c r="D45" s="411"/>
      <c r="E45" s="411"/>
      <c r="F45" s="411"/>
      <c r="G45" s="411"/>
      <c r="H45" s="411"/>
      <c r="I45" s="411"/>
      <c r="J45" s="411"/>
      <c r="K45" s="411"/>
      <c r="L45" s="411"/>
      <c r="M45" s="411"/>
      <c r="N45" s="711"/>
      <c r="O45" s="415"/>
      <c r="P45" s="411"/>
      <c r="Q45" s="411"/>
      <c r="R45" s="440"/>
      <c r="S45" s="658"/>
      <c r="T45" s="446"/>
      <c r="U45" s="458" t="s">
        <v>734</v>
      </c>
      <c r="V45" s="48">
        <v>94.53</v>
      </c>
      <c r="W45" s="131" t="s">
        <v>549</v>
      </c>
      <c r="X45" s="131"/>
      <c r="Y45" s="131"/>
      <c r="Z45" s="131"/>
      <c r="AA45" s="131">
        <v>30.23</v>
      </c>
      <c r="AB45" s="50"/>
      <c r="AC45" s="437"/>
    </row>
    <row r="46" spans="1:29" s="301" customFormat="1" ht="12.75">
      <c r="A46" s="428"/>
      <c r="B46" s="710"/>
      <c r="C46" s="411"/>
      <c r="D46" s="411"/>
      <c r="E46" s="411"/>
      <c r="F46" s="411"/>
      <c r="G46" s="411"/>
      <c r="H46" s="411"/>
      <c r="I46" s="411"/>
      <c r="J46" s="411"/>
      <c r="K46" s="411"/>
      <c r="L46" s="411"/>
      <c r="M46" s="411"/>
      <c r="N46" s="711"/>
      <c r="O46" s="415"/>
      <c r="P46" s="411"/>
      <c r="Q46" s="411"/>
      <c r="R46" s="440"/>
      <c r="S46" s="658"/>
      <c r="T46" s="446"/>
      <c r="U46" s="458" t="s">
        <v>735</v>
      </c>
      <c r="V46" s="51"/>
      <c r="W46" s="131">
        <v>0.0258</v>
      </c>
      <c r="X46" s="131"/>
      <c r="Y46" s="131"/>
      <c r="Z46" s="131">
        <v>0.0258</v>
      </c>
      <c r="AA46" s="131"/>
      <c r="AB46" s="50" t="s">
        <v>745</v>
      </c>
      <c r="AC46" s="437"/>
    </row>
    <row r="47" spans="1:29" s="301" customFormat="1" ht="12.75">
      <c r="A47" s="428"/>
      <c r="B47" s="710"/>
      <c r="C47" s="411"/>
      <c r="D47" s="411"/>
      <c r="E47" s="411"/>
      <c r="F47" s="411"/>
      <c r="G47" s="411"/>
      <c r="H47" s="411"/>
      <c r="I47" s="411"/>
      <c r="J47" s="411"/>
      <c r="K47" s="411"/>
      <c r="L47" s="411"/>
      <c r="M47" s="411"/>
      <c r="N47" s="711"/>
      <c r="O47" s="415"/>
      <c r="P47" s="411"/>
      <c r="Q47" s="411"/>
      <c r="R47" s="440"/>
      <c r="S47" s="658"/>
      <c r="T47" s="446"/>
      <c r="U47" s="458" t="s">
        <v>736</v>
      </c>
      <c r="V47" s="48" t="s">
        <v>394</v>
      </c>
      <c r="W47" s="131">
        <v>0.024</v>
      </c>
      <c r="X47" s="131"/>
      <c r="Y47" s="131"/>
      <c r="Z47" s="131">
        <v>0.024</v>
      </c>
      <c r="AA47" s="852">
        <v>47.337278106508876</v>
      </c>
      <c r="AB47" s="50" t="s">
        <v>746</v>
      </c>
      <c r="AC47" s="437"/>
    </row>
    <row r="48" spans="1:29" s="301" customFormat="1" ht="16.5" customHeight="1">
      <c r="A48" s="428"/>
      <c r="B48" s="710"/>
      <c r="C48" s="411"/>
      <c r="D48" s="411"/>
      <c r="E48" s="411"/>
      <c r="F48" s="411"/>
      <c r="G48" s="411"/>
      <c r="H48" s="411"/>
      <c r="I48" s="411"/>
      <c r="J48" s="411"/>
      <c r="K48" s="411"/>
      <c r="L48" s="411"/>
      <c r="M48" s="411"/>
      <c r="N48" s="711"/>
      <c r="O48" s="415"/>
      <c r="P48" s="411"/>
      <c r="Q48" s="411"/>
      <c r="R48" s="440"/>
      <c r="S48" s="658"/>
      <c r="T48" s="446"/>
      <c r="U48" s="458" t="s">
        <v>737</v>
      </c>
      <c r="V48" s="48">
        <v>96</v>
      </c>
      <c r="W48" s="131"/>
      <c r="X48" s="131"/>
      <c r="Y48" s="131"/>
      <c r="Z48" s="131"/>
      <c r="AA48" s="855">
        <v>23.53</v>
      </c>
      <c r="AB48" s="50"/>
      <c r="AC48" s="437"/>
    </row>
    <row r="49" spans="1:29" s="301" customFormat="1" ht="17.25" customHeight="1">
      <c r="A49" s="428"/>
      <c r="B49" s="710"/>
      <c r="C49" s="411"/>
      <c r="D49" s="411"/>
      <c r="E49" s="411"/>
      <c r="F49" s="411"/>
      <c r="G49" s="411"/>
      <c r="H49" s="411"/>
      <c r="I49" s="411"/>
      <c r="J49" s="411"/>
      <c r="K49" s="411"/>
      <c r="L49" s="411"/>
      <c r="M49" s="411"/>
      <c r="N49" s="711"/>
      <c r="O49" s="415"/>
      <c r="P49" s="411"/>
      <c r="Q49" s="411"/>
      <c r="R49" s="440"/>
      <c r="S49" s="658"/>
      <c r="T49" s="446"/>
      <c r="U49" s="458" t="s">
        <v>738</v>
      </c>
      <c r="V49" s="48" t="s">
        <v>395</v>
      </c>
      <c r="W49" s="131"/>
      <c r="X49" s="131"/>
      <c r="Y49" s="131"/>
      <c r="Z49" s="131"/>
      <c r="AA49" s="131"/>
      <c r="AB49" s="50"/>
      <c r="AC49" s="437"/>
    </row>
    <row r="50" spans="1:29" s="301" customFormat="1" ht="17.25" customHeight="1">
      <c r="A50" s="428"/>
      <c r="B50" s="710"/>
      <c r="C50" s="411"/>
      <c r="D50" s="411"/>
      <c r="E50" s="411"/>
      <c r="F50" s="411"/>
      <c r="G50" s="411"/>
      <c r="H50" s="411"/>
      <c r="I50" s="411"/>
      <c r="J50" s="411"/>
      <c r="K50" s="411"/>
      <c r="L50" s="411"/>
      <c r="M50" s="411"/>
      <c r="N50" s="711"/>
      <c r="O50" s="415"/>
      <c r="P50" s="411"/>
      <c r="Q50" s="411"/>
      <c r="R50" s="440"/>
      <c r="S50" s="658"/>
      <c r="T50" s="446"/>
      <c r="U50" s="458" t="s">
        <v>453</v>
      </c>
      <c r="V50" s="459">
        <v>56.06</v>
      </c>
      <c r="W50" s="460" t="s">
        <v>864</v>
      </c>
      <c r="X50" s="461"/>
      <c r="Y50" s="462"/>
      <c r="Z50" s="460" t="s">
        <v>864</v>
      </c>
      <c r="AA50" s="462"/>
      <c r="AB50" s="50"/>
      <c r="AC50" s="437"/>
    </row>
    <row r="51" spans="1:29" s="301" customFormat="1" ht="12">
      <c r="A51" s="428"/>
      <c r="B51" s="710"/>
      <c r="C51" s="411"/>
      <c r="D51" s="411"/>
      <c r="E51" s="411"/>
      <c r="F51" s="411"/>
      <c r="G51" s="411"/>
      <c r="H51" s="411"/>
      <c r="I51" s="411"/>
      <c r="J51" s="411"/>
      <c r="K51" s="411"/>
      <c r="L51" s="411"/>
      <c r="M51" s="411"/>
      <c r="N51" s="711"/>
      <c r="O51" s="415"/>
      <c r="P51" s="411"/>
      <c r="Q51" s="411"/>
      <c r="R51" s="440"/>
      <c r="S51" s="658"/>
      <c r="T51" s="446"/>
      <c r="U51" s="450"/>
      <c r="V51" s="449"/>
      <c r="W51" s="797" t="s">
        <v>739</v>
      </c>
      <c r="X51" s="414"/>
      <c r="Y51" s="414"/>
      <c r="Z51" s="797" t="s">
        <v>739</v>
      </c>
      <c r="AA51" s="449"/>
      <c r="AB51" s="414"/>
      <c r="AC51" s="437"/>
    </row>
    <row r="52" spans="1:29" s="301" customFormat="1" ht="15" customHeight="1" thickBot="1">
      <c r="A52" s="428"/>
      <c r="B52" s="710"/>
      <c r="C52" s="411"/>
      <c r="D52" s="411"/>
      <c r="E52" s="411"/>
      <c r="F52" s="411"/>
      <c r="G52" s="411"/>
      <c r="H52" s="411"/>
      <c r="I52" s="411"/>
      <c r="J52" s="411"/>
      <c r="K52" s="411"/>
      <c r="L52" s="411"/>
      <c r="M52" s="411"/>
      <c r="N52" s="711"/>
      <c r="O52" s="415"/>
      <c r="P52" s="411"/>
      <c r="Q52" s="411"/>
      <c r="R52" s="440"/>
      <c r="S52" s="660"/>
      <c r="T52" s="451"/>
      <c r="U52" s="452"/>
      <c r="V52" s="453"/>
      <c r="W52" s="454"/>
      <c r="X52" s="454"/>
      <c r="Y52" s="454"/>
      <c r="Z52" s="454"/>
      <c r="AA52" s="453"/>
      <c r="AB52" s="454"/>
      <c r="AC52" s="455"/>
    </row>
    <row r="53" spans="3:13" s="395" customFormat="1" ht="20.25" customHeight="1" thickBot="1" thickTop="1">
      <c r="C53" s="508"/>
      <c r="D53" s="508"/>
      <c r="E53" s="508"/>
      <c r="F53" s="508"/>
      <c r="G53" s="508"/>
      <c r="H53" s="508"/>
      <c r="I53" s="508"/>
      <c r="J53" s="509"/>
      <c r="K53" s="508"/>
      <c r="L53" s="508"/>
      <c r="M53" s="508"/>
    </row>
    <row r="54" spans="1:17" ht="15" customHeight="1" thickBot="1" thickTop="1">
      <c r="A54" s="307"/>
      <c r="B54" s="463"/>
      <c r="C54" s="463"/>
      <c r="D54" s="463"/>
      <c r="E54" s="463"/>
      <c r="F54" s="463"/>
      <c r="G54" s="463"/>
      <c r="H54" s="463"/>
      <c r="I54" s="463"/>
      <c r="J54" s="463"/>
      <c r="K54" s="463"/>
      <c r="L54" s="463"/>
      <c r="M54" s="463"/>
      <c r="N54" s="508"/>
      <c r="O54" s="508"/>
      <c r="P54" s="508"/>
      <c r="Q54" s="508"/>
    </row>
    <row r="55" spans="1:18" ht="29.25" customHeight="1" thickTop="1">
      <c r="A55" s="425"/>
      <c r="B55" s="686" t="s">
        <v>168</v>
      </c>
      <c r="C55" s="717"/>
      <c r="D55" s="717"/>
      <c r="E55" s="717"/>
      <c r="F55" s="717"/>
      <c r="G55" s="717"/>
      <c r="H55" s="717"/>
      <c r="I55" s="717"/>
      <c r="J55" s="717"/>
      <c r="K55" s="687"/>
      <c r="L55" s="510"/>
      <c r="M55" s="463"/>
      <c r="N55" s="463"/>
      <c r="O55" s="463"/>
      <c r="P55" s="463"/>
      <c r="Q55" s="510"/>
      <c r="R55" s="308"/>
    </row>
    <row r="56" spans="1:18" ht="28.5" customHeight="1">
      <c r="A56" s="425"/>
      <c r="B56" s="718" t="s">
        <v>560</v>
      </c>
      <c r="C56" s="468"/>
      <c r="D56" s="468"/>
      <c r="E56" s="468"/>
      <c r="F56" s="468"/>
      <c r="G56" s="469"/>
      <c r="H56" s="470"/>
      <c r="I56" s="470"/>
      <c r="J56" s="470"/>
      <c r="K56" s="471"/>
      <c r="L56" s="511"/>
      <c r="M56" s="470"/>
      <c r="N56" s="470"/>
      <c r="O56" s="470"/>
      <c r="P56" s="470"/>
      <c r="Q56" s="511"/>
      <c r="R56" s="309"/>
    </row>
    <row r="57" spans="1:18" ht="15" customHeight="1">
      <c r="A57" s="425"/>
      <c r="B57" s="719"/>
      <c r="C57" s="473"/>
      <c r="D57" s="472"/>
      <c r="E57" s="472"/>
      <c r="F57" s="472"/>
      <c r="G57" s="473"/>
      <c r="H57" s="473"/>
      <c r="I57" s="473"/>
      <c r="J57" s="473"/>
      <c r="K57" s="474"/>
      <c r="L57" s="512"/>
      <c r="M57" s="712" t="s">
        <v>815</v>
      </c>
      <c r="N57" s="490"/>
      <c r="O57" s="1209" t="s">
        <v>724</v>
      </c>
      <c r="P57" s="1210"/>
      <c r="Q57" s="512"/>
      <c r="R57" s="310"/>
    </row>
    <row r="58" spans="1:18" ht="15" customHeight="1" thickBot="1">
      <c r="A58" s="425"/>
      <c r="B58" s="720"/>
      <c r="C58" s="464"/>
      <c r="D58" s="967" t="s">
        <v>409</v>
      </c>
      <c r="E58" s="1164" t="s">
        <v>410</v>
      </c>
      <c r="F58" s="1164"/>
      <c r="G58" s="967" t="s">
        <v>414</v>
      </c>
      <c r="H58" s="967" t="s">
        <v>411</v>
      </c>
      <c r="I58" s="967" t="s">
        <v>816</v>
      </c>
      <c r="J58" s="967" t="s">
        <v>817</v>
      </c>
      <c r="K58" s="968" t="s">
        <v>413</v>
      </c>
      <c r="L58" s="513"/>
      <c r="M58" s="713" t="s">
        <v>721</v>
      </c>
      <c r="N58" s="311"/>
      <c r="O58" s="648" t="s">
        <v>865</v>
      </c>
      <c r="P58" s="675" t="s">
        <v>843</v>
      </c>
      <c r="Q58" s="513"/>
      <c r="R58" s="313"/>
    </row>
    <row r="59" spans="1:28" ht="15" customHeight="1" thickTop="1">
      <c r="A59" s="425"/>
      <c r="B59" s="666"/>
      <c r="C59" s="465"/>
      <c r="D59" s="1182" t="s">
        <v>176</v>
      </c>
      <c r="E59" s="501" t="s">
        <v>193</v>
      </c>
      <c r="F59" s="502"/>
      <c r="G59" s="502"/>
      <c r="H59" s="966"/>
      <c r="I59" s="501" t="s">
        <v>197</v>
      </c>
      <c r="J59" s="502"/>
      <c r="K59" s="504"/>
      <c r="L59" s="514"/>
      <c r="M59" s="312" t="s">
        <v>722</v>
      </c>
      <c r="N59" s="682"/>
      <c r="O59" s="673" t="e">
        <f>9.0166/N59</f>
        <v>#DIV/0!</v>
      </c>
      <c r="P59" s="674" t="e">
        <f>10.3927/N59</f>
        <v>#DIV/0!</v>
      </c>
      <c r="Q59" s="489"/>
      <c r="R59" s="664"/>
      <c r="S59" s="665"/>
      <c r="T59" s="568"/>
      <c r="U59" s="668" t="s">
        <v>558</v>
      </c>
      <c r="V59" s="669"/>
      <c r="W59" s="669"/>
      <c r="X59" s="669"/>
      <c r="Y59" s="670"/>
      <c r="Z59" s="671"/>
      <c r="AA59" s="672"/>
      <c r="AB59" s="314"/>
    </row>
    <row r="60" spans="1:28" ht="15" customHeight="1" thickBot="1">
      <c r="A60" s="425"/>
      <c r="B60" s="666"/>
      <c r="C60" s="465"/>
      <c r="D60" s="1183"/>
      <c r="E60" s="1201" t="s">
        <v>194</v>
      </c>
      <c r="F60" s="1202"/>
      <c r="G60" s="1205" t="s">
        <v>195</v>
      </c>
      <c r="H60" s="1213" t="s">
        <v>196</v>
      </c>
      <c r="I60" s="501" t="s">
        <v>582</v>
      </c>
      <c r="J60" s="503"/>
      <c r="K60" s="505" t="s">
        <v>198</v>
      </c>
      <c r="L60" s="514"/>
      <c r="M60" s="714"/>
      <c r="N60" s="311"/>
      <c r="O60" s="1211" t="s">
        <v>723</v>
      </c>
      <c r="P60" s="1212"/>
      <c r="Q60" s="489"/>
      <c r="R60" s="666"/>
      <c r="S60" s="437"/>
      <c r="T60" s="662"/>
      <c r="U60" s="528" t="s">
        <v>410</v>
      </c>
      <c r="V60" s="385" t="s">
        <v>869</v>
      </c>
      <c r="W60" s="385" t="s">
        <v>870</v>
      </c>
      <c r="X60" s="551" t="s">
        <v>871</v>
      </c>
      <c r="Y60" s="498"/>
      <c r="Z60" s="498"/>
      <c r="AA60" s="518"/>
      <c r="AB60" s="351"/>
    </row>
    <row r="61" spans="1:28" ht="15" customHeight="1">
      <c r="A61" s="425"/>
      <c r="B61" s="666"/>
      <c r="C61" s="465"/>
      <c r="D61" s="1184" t="s">
        <v>514</v>
      </c>
      <c r="E61" s="1203"/>
      <c r="F61" s="1204"/>
      <c r="G61" s="1206"/>
      <c r="H61" s="1214"/>
      <c r="I61" s="1045" t="s">
        <v>820</v>
      </c>
      <c r="J61" s="1045" t="s">
        <v>185</v>
      </c>
      <c r="K61" s="505" t="s">
        <v>190</v>
      </c>
      <c r="L61" s="514"/>
      <c r="M61" s="715" t="s">
        <v>720</v>
      </c>
      <c r="N61" s="681"/>
      <c r="O61" s="673">
        <f>N61*2.3822/100</f>
        <v>0</v>
      </c>
      <c r="P61" s="674">
        <f>N61*2.7458/100</f>
        <v>0</v>
      </c>
      <c r="Q61" s="489"/>
      <c r="R61" s="666"/>
      <c r="S61" s="437"/>
      <c r="T61" s="662"/>
      <c r="U61" s="529" t="s">
        <v>797</v>
      </c>
      <c r="V61" s="532"/>
      <c r="W61" s="529"/>
      <c r="X61" s="531" t="s">
        <v>800</v>
      </c>
      <c r="Y61" s="498"/>
      <c r="Z61" s="498"/>
      <c r="AA61" s="518"/>
      <c r="AB61" s="351"/>
    </row>
    <row r="62" spans="1:28" ht="15" customHeight="1">
      <c r="A62" s="425"/>
      <c r="B62" s="666"/>
      <c r="C62" s="465"/>
      <c r="D62" s="1184"/>
      <c r="E62" s="1203"/>
      <c r="F62" s="1204"/>
      <c r="G62" s="1206"/>
      <c r="H62" s="1214"/>
      <c r="I62" s="506" t="s">
        <v>199</v>
      </c>
      <c r="J62" s="506" t="s">
        <v>200</v>
      </c>
      <c r="K62" s="507" t="s">
        <v>866</v>
      </c>
      <c r="L62" s="514"/>
      <c r="M62" s="716"/>
      <c r="N62" s="311"/>
      <c r="O62" s="1189" t="s">
        <v>719</v>
      </c>
      <c r="P62" s="1190"/>
      <c r="Q62" s="489"/>
      <c r="R62" s="666"/>
      <c r="S62" s="437"/>
      <c r="T62" s="662"/>
      <c r="U62" s="548"/>
      <c r="V62" s="530" t="s">
        <v>799</v>
      </c>
      <c r="W62" s="530" t="s">
        <v>872</v>
      </c>
      <c r="X62" s="385" t="s">
        <v>820</v>
      </c>
      <c r="Y62" s="498"/>
      <c r="Z62" s="498"/>
      <c r="AA62" s="518"/>
      <c r="AB62" s="351"/>
    </row>
    <row r="63" spans="1:28" s="296" customFormat="1" ht="15" customHeight="1">
      <c r="A63" s="425"/>
      <c r="B63" s="721"/>
      <c r="C63" s="477" t="s">
        <v>707</v>
      </c>
      <c r="D63" s="477"/>
      <c r="E63" s="478"/>
      <c r="F63" s="478"/>
      <c r="G63" s="479"/>
      <c r="H63" s="479"/>
      <c r="I63" s="478"/>
      <c r="J63" s="478"/>
      <c r="K63" s="480">
        <f>SUM(K65:K91)</f>
        <v>0</v>
      </c>
      <c r="L63" s="515"/>
      <c r="M63" s="487"/>
      <c r="N63" s="1172" t="s">
        <v>718</v>
      </c>
      <c r="O63" s="487"/>
      <c r="P63" s="487"/>
      <c r="Q63" s="487"/>
      <c r="R63" s="666"/>
      <c r="S63" s="437"/>
      <c r="T63" s="662"/>
      <c r="U63" s="549" t="s">
        <v>798</v>
      </c>
      <c r="V63" s="533"/>
      <c r="W63" s="533"/>
      <c r="X63" s="534" t="s">
        <v>559</v>
      </c>
      <c r="Y63" s="498"/>
      <c r="Z63" s="498"/>
      <c r="AA63" s="518"/>
      <c r="AB63" s="351"/>
    </row>
    <row r="64" spans="1:28" s="301" customFormat="1" ht="15" customHeight="1" thickBot="1">
      <c r="A64" s="428"/>
      <c r="B64" s="722"/>
      <c r="C64" s="488"/>
      <c r="D64" s="676" t="s">
        <v>683</v>
      </c>
      <c r="E64" s="491" t="s">
        <v>684</v>
      </c>
      <c r="F64" s="491"/>
      <c r="G64" s="491" t="s">
        <v>581</v>
      </c>
      <c r="H64" s="492"/>
      <c r="I64" s="493"/>
      <c r="J64" s="492"/>
      <c r="K64" s="492"/>
      <c r="L64" s="516"/>
      <c r="M64" s="499"/>
      <c r="N64" s="1173"/>
      <c r="O64" s="499"/>
      <c r="P64" s="499"/>
      <c r="Q64" s="661"/>
      <c r="R64" s="666"/>
      <c r="S64" s="440"/>
      <c r="T64" s="662"/>
      <c r="U64" s="550" t="s">
        <v>796</v>
      </c>
      <c r="V64" s="538"/>
      <c r="W64" s="539"/>
      <c r="X64" s="540"/>
      <c r="Y64" s="498"/>
      <c r="Z64" s="498"/>
      <c r="AA64" s="518"/>
      <c r="AB64" s="351"/>
    </row>
    <row r="65" spans="1:28" ht="15" customHeight="1">
      <c r="A65" s="425"/>
      <c r="B65" s="723"/>
      <c r="C65" s="466"/>
      <c r="D65" s="315"/>
      <c r="E65" s="316" t="s">
        <v>685</v>
      </c>
      <c r="F65" s="317">
        <f>100/(56/3.785*1.6093)</f>
        <v>4.199918331839044</v>
      </c>
      <c r="G65" s="754"/>
      <c r="H65" s="996" t="s">
        <v>697</v>
      </c>
      <c r="I65" s="1001">
        <v>0.16101119642857145</v>
      </c>
      <c r="J65" s="1002"/>
      <c r="K65" s="1003">
        <f aca="true" t="shared" si="2" ref="K65:K77">G65*IF(J65=0,I65,J65)/1000</f>
        <v>0</v>
      </c>
      <c r="L65" s="724"/>
      <c r="M65" s="500"/>
      <c r="N65" s="1173"/>
      <c r="O65" s="500"/>
      <c r="P65" s="500"/>
      <c r="Q65" s="500"/>
      <c r="R65" s="666"/>
      <c r="S65" s="437"/>
      <c r="T65" s="663"/>
      <c r="U65" s="526" t="s">
        <v>790</v>
      </c>
      <c r="V65" s="356">
        <f aca="true" t="shared" si="3" ref="V65:V70">100/(W65/3.785*1.6093)</f>
        <v>10.93932216665053</v>
      </c>
      <c r="W65" s="535">
        <v>21.5</v>
      </c>
      <c r="X65" s="761">
        <v>260.6</v>
      </c>
      <c r="Y65" s="541" t="s">
        <v>801</v>
      </c>
      <c r="Z65" s="498"/>
      <c r="AA65" s="518"/>
      <c r="AB65" s="351"/>
    </row>
    <row r="66" spans="1:28" ht="15" customHeight="1">
      <c r="A66" s="425"/>
      <c r="B66" s="723"/>
      <c r="C66" s="466"/>
      <c r="D66" s="303"/>
      <c r="E66" s="318" t="s">
        <v>686</v>
      </c>
      <c r="F66" s="319">
        <v>8.110187123551254</v>
      </c>
      <c r="G66" s="752"/>
      <c r="H66" s="997" t="s">
        <v>697</v>
      </c>
      <c r="I66" s="1004">
        <v>0.31091817241379316</v>
      </c>
      <c r="J66" s="888"/>
      <c r="K66" s="1005">
        <f t="shared" si="2"/>
        <v>0</v>
      </c>
      <c r="L66" s="724"/>
      <c r="M66" s="500"/>
      <c r="N66" s="1173"/>
      <c r="O66" s="500"/>
      <c r="P66" s="500"/>
      <c r="Q66" s="500"/>
      <c r="R66" s="666"/>
      <c r="S66" s="437"/>
      <c r="T66" s="663"/>
      <c r="U66" s="526" t="s">
        <v>791</v>
      </c>
      <c r="V66" s="356">
        <f t="shared" si="3"/>
        <v>13.674152708313162</v>
      </c>
      <c r="W66" s="536">
        <v>17.2</v>
      </c>
      <c r="X66" s="762">
        <v>325.7</v>
      </c>
      <c r="Y66" s="541" t="s">
        <v>802</v>
      </c>
      <c r="Z66" s="498"/>
      <c r="AA66" s="518"/>
      <c r="AB66" s="351"/>
    </row>
    <row r="67" spans="1:28" ht="15" customHeight="1">
      <c r="A67" s="425"/>
      <c r="B67" s="723"/>
      <c r="C67" s="466"/>
      <c r="D67" s="302"/>
      <c r="E67" s="322" t="s">
        <v>687</v>
      </c>
      <c r="F67" s="323">
        <v>10.225888112303757</v>
      </c>
      <c r="G67" s="751"/>
      <c r="H67" s="998" t="s">
        <v>697</v>
      </c>
      <c r="I67" s="1006">
        <v>0.3920272608695653</v>
      </c>
      <c r="J67" s="903"/>
      <c r="K67" s="1007">
        <f t="shared" si="2"/>
        <v>0</v>
      </c>
      <c r="L67" s="724"/>
      <c r="M67" s="500"/>
      <c r="N67" s="1173"/>
      <c r="O67" s="500"/>
      <c r="P67" s="500"/>
      <c r="Q67" s="500"/>
      <c r="R67" s="666"/>
      <c r="S67" s="437"/>
      <c r="T67" s="663"/>
      <c r="U67" s="526" t="s">
        <v>792</v>
      </c>
      <c r="V67" s="356">
        <f t="shared" si="3"/>
        <v>9.116101805542108</v>
      </c>
      <c r="W67" s="535">
        <f>1.2*W65</f>
        <v>25.8</v>
      </c>
      <c r="X67" s="762">
        <v>217.2</v>
      </c>
      <c r="Y67" s="541" t="s">
        <v>803</v>
      </c>
      <c r="Z67" s="498"/>
      <c r="AA67" s="518"/>
      <c r="AB67" s="351"/>
    </row>
    <row r="68" spans="1:28" ht="15" customHeight="1">
      <c r="A68" s="425"/>
      <c r="B68" s="723"/>
      <c r="C68" s="466"/>
      <c r="D68" s="303"/>
      <c r="E68" s="318" t="s">
        <v>688</v>
      </c>
      <c r="F68" s="319">
        <v>12.378706662262443</v>
      </c>
      <c r="G68" s="752"/>
      <c r="H68" s="997" t="s">
        <v>697</v>
      </c>
      <c r="I68" s="1004">
        <v>0.47455931578947375</v>
      </c>
      <c r="J68" s="888"/>
      <c r="K68" s="1005">
        <f t="shared" si="2"/>
        <v>0</v>
      </c>
      <c r="L68" s="724"/>
      <c r="M68" s="500"/>
      <c r="N68" s="1173"/>
      <c r="O68" s="500"/>
      <c r="P68" s="500"/>
      <c r="Q68" s="500"/>
      <c r="R68" s="666"/>
      <c r="S68" s="437"/>
      <c r="T68" s="663"/>
      <c r="U68" s="526" t="s">
        <v>793</v>
      </c>
      <c r="V68" s="356">
        <f t="shared" si="3"/>
        <v>11.643337949652794</v>
      </c>
      <c r="W68" s="537">
        <v>20.2</v>
      </c>
      <c r="X68" s="762">
        <v>277.4</v>
      </c>
      <c r="Y68" s="561" t="s">
        <v>361</v>
      </c>
      <c r="Z68" s="498"/>
      <c r="AA68" s="518"/>
      <c r="AB68" s="351"/>
    </row>
    <row r="69" spans="1:28" ht="15" customHeight="1">
      <c r="A69" s="425"/>
      <c r="B69" s="723"/>
      <c r="C69" s="466"/>
      <c r="D69" s="325"/>
      <c r="E69" s="318" t="s">
        <v>689</v>
      </c>
      <c r="F69" s="319"/>
      <c r="G69" s="753"/>
      <c r="H69" s="999" t="s">
        <v>697</v>
      </c>
      <c r="I69" s="1008">
        <v>0.28645539999999997</v>
      </c>
      <c r="J69" s="1009"/>
      <c r="K69" s="1010">
        <f t="shared" si="2"/>
        <v>0</v>
      </c>
      <c r="L69" s="724"/>
      <c r="M69" s="500"/>
      <c r="N69" s="500"/>
      <c r="O69" s="500"/>
      <c r="P69" s="500"/>
      <c r="Q69" s="500"/>
      <c r="R69" s="666"/>
      <c r="S69" s="437"/>
      <c r="T69" s="663"/>
      <c r="U69" s="526" t="s">
        <v>794</v>
      </c>
      <c r="V69" s="356">
        <f t="shared" si="3"/>
        <v>14.608411589005367</v>
      </c>
      <c r="W69" s="536">
        <v>16.1</v>
      </c>
      <c r="X69" s="762">
        <v>348</v>
      </c>
      <c r="Y69" s="465"/>
      <c r="Z69" s="498"/>
      <c r="AA69" s="518"/>
      <c r="AB69" s="351"/>
    </row>
    <row r="70" spans="1:28" ht="15" customHeight="1">
      <c r="A70" s="425"/>
      <c r="B70" s="723"/>
      <c r="C70" s="466"/>
      <c r="D70" s="303"/>
      <c r="E70" s="318" t="s">
        <v>690</v>
      </c>
      <c r="F70" s="323">
        <v>9.799809440957768</v>
      </c>
      <c r="G70" s="752"/>
      <c r="H70" s="997" t="s">
        <v>697</v>
      </c>
      <c r="I70" s="1004">
        <v>0.3749669</v>
      </c>
      <c r="J70" s="888"/>
      <c r="K70" s="1005">
        <f t="shared" si="2"/>
        <v>0</v>
      </c>
      <c r="L70" s="724"/>
      <c r="M70" s="500"/>
      <c r="N70" s="500"/>
      <c r="O70" s="500"/>
      <c r="P70" s="500"/>
      <c r="Q70" s="500"/>
      <c r="R70" s="666"/>
      <c r="S70" s="437"/>
      <c r="T70" s="663"/>
      <c r="U70" s="526" t="s">
        <v>795</v>
      </c>
      <c r="V70" s="356">
        <f t="shared" si="3"/>
        <v>9.702781624710662</v>
      </c>
      <c r="W70" s="535">
        <f>1.2*W68</f>
        <v>24.24</v>
      </c>
      <c r="X70" s="762">
        <v>231.1</v>
      </c>
      <c r="Y70" s="465"/>
      <c r="Z70" s="498"/>
      <c r="AA70" s="518"/>
      <c r="AB70" s="351"/>
    </row>
    <row r="71" spans="1:28" ht="15" customHeight="1">
      <c r="A71" s="425"/>
      <c r="B71" s="723"/>
      <c r="C71" s="466"/>
      <c r="D71" s="303"/>
      <c r="E71" s="318" t="s">
        <v>691</v>
      </c>
      <c r="F71" s="323">
        <v>16.799673327356174</v>
      </c>
      <c r="G71" s="752"/>
      <c r="H71" s="997" t="s">
        <v>697</v>
      </c>
      <c r="I71" s="1006">
        <v>0.6440447857142858</v>
      </c>
      <c r="J71" s="888"/>
      <c r="K71" s="1005">
        <f t="shared" si="2"/>
        <v>0</v>
      </c>
      <c r="L71" s="724"/>
      <c r="M71" s="500"/>
      <c r="N71" s="500"/>
      <c r="O71" s="500"/>
      <c r="P71" s="500"/>
      <c r="Q71" s="500"/>
      <c r="R71" s="666"/>
      <c r="S71" s="437"/>
      <c r="T71" s="663"/>
      <c r="U71" s="353" t="s">
        <v>789</v>
      </c>
      <c r="V71" s="354"/>
      <c r="W71" s="355"/>
      <c r="X71" s="355"/>
      <c r="Y71" s="541" t="s">
        <v>804</v>
      </c>
      <c r="Z71" s="498"/>
      <c r="AA71" s="518"/>
      <c r="AB71" s="351"/>
    </row>
    <row r="72" spans="1:28" ht="15" customHeight="1">
      <c r="A72" s="425"/>
      <c r="B72" s="723"/>
      <c r="C72" s="466"/>
      <c r="D72" s="303"/>
      <c r="E72" s="318" t="s">
        <v>692</v>
      </c>
      <c r="F72" s="323">
        <v>39.19923776383107</v>
      </c>
      <c r="G72" s="752"/>
      <c r="H72" s="997" t="s">
        <v>697</v>
      </c>
      <c r="I72" s="1006">
        <v>1.502771166666667</v>
      </c>
      <c r="J72" s="888"/>
      <c r="K72" s="1005">
        <f t="shared" si="2"/>
        <v>0</v>
      </c>
      <c r="L72" s="724"/>
      <c r="M72" s="500"/>
      <c r="N72" s="500"/>
      <c r="O72" s="500"/>
      <c r="P72" s="500"/>
      <c r="Q72" s="500"/>
      <c r="R72" s="666"/>
      <c r="S72" s="437"/>
      <c r="T72" s="663"/>
      <c r="U72" s="526" t="s">
        <v>766</v>
      </c>
      <c r="V72" s="356">
        <f aca="true" t="shared" si="4" ref="V72:V95">100/(W72/3.785*1.6093)</f>
        <v>4.199918331839044</v>
      </c>
      <c r="W72" s="357">
        <v>56</v>
      </c>
      <c r="X72" s="762">
        <v>100.1</v>
      </c>
      <c r="Y72" s="541" t="s">
        <v>805</v>
      </c>
      <c r="Z72" s="498"/>
      <c r="AA72" s="518"/>
      <c r="AB72" s="351"/>
    </row>
    <row r="73" spans="1:28" ht="15" customHeight="1">
      <c r="A73" s="425"/>
      <c r="B73" s="723"/>
      <c r="C73" s="466"/>
      <c r="D73" s="303"/>
      <c r="E73" s="318" t="s">
        <v>693</v>
      </c>
      <c r="F73" s="323">
        <v>15.679695105532426</v>
      </c>
      <c r="G73" s="752"/>
      <c r="H73" s="997" t="s">
        <v>697</v>
      </c>
      <c r="I73" s="1006">
        <v>0.692849549</v>
      </c>
      <c r="J73" s="888"/>
      <c r="K73" s="1005">
        <f t="shared" si="2"/>
        <v>0</v>
      </c>
      <c r="L73" s="724"/>
      <c r="M73" s="500"/>
      <c r="N73" s="500"/>
      <c r="O73" s="500"/>
      <c r="P73" s="500"/>
      <c r="Q73" s="500"/>
      <c r="R73" s="666"/>
      <c r="S73" s="437"/>
      <c r="T73" s="663"/>
      <c r="U73" s="526" t="s">
        <v>767</v>
      </c>
      <c r="V73" s="356">
        <f t="shared" si="4"/>
        <v>7.349857080718325</v>
      </c>
      <c r="W73" s="357">
        <v>32</v>
      </c>
      <c r="X73" s="762">
        <v>175.1</v>
      </c>
      <c r="Y73" s="541" t="s">
        <v>806</v>
      </c>
      <c r="Z73" s="498"/>
      <c r="AA73" s="518"/>
      <c r="AB73" s="351"/>
    </row>
    <row r="74" spans="1:28" ht="15" customHeight="1">
      <c r="A74" s="425"/>
      <c r="B74" s="723"/>
      <c r="C74" s="466"/>
      <c r="D74" s="303"/>
      <c r="E74" s="318" t="s">
        <v>694</v>
      </c>
      <c r="F74" s="323">
        <v>33.59934665471235</v>
      </c>
      <c r="G74" s="752"/>
      <c r="H74" s="997" t="s">
        <v>697</v>
      </c>
      <c r="I74" s="1006">
        <v>1.4846776050000001</v>
      </c>
      <c r="J74" s="888"/>
      <c r="K74" s="1005">
        <f t="shared" si="2"/>
        <v>0</v>
      </c>
      <c r="L74" s="724"/>
      <c r="M74" s="500"/>
      <c r="N74" s="500"/>
      <c r="O74" s="500"/>
      <c r="P74" s="500"/>
      <c r="Q74" s="500"/>
      <c r="R74" s="666"/>
      <c r="S74" s="437"/>
      <c r="T74" s="663"/>
      <c r="U74" s="526" t="s">
        <v>768</v>
      </c>
      <c r="V74" s="356">
        <f t="shared" si="4"/>
        <v>9.045977945499477</v>
      </c>
      <c r="W74" s="357">
        <v>26</v>
      </c>
      <c r="X74" s="763">
        <v>215.5</v>
      </c>
      <c r="Y74" s="206" t="s">
        <v>355</v>
      </c>
      <c r="Z74" s="498"/>
      <c r="AA74" s="518"/>
      <c r="AB74" s="351"/>
    </row>
    <row r="75" spans="1:28" ht="15" customHeight="1">
      <c r="A75" s="425"/>
      <c r="B75" s="723"/>
      <c r="C75" s="466"/>
      <c r="D75" s="325"/>
      <c r="E75" s="328" t="s">
        <v>695</v>
      </c>
      <c r="F75" s="329">
        <v>3.9199237763831065</v>
      </c>
      <c r="G75" s="753"/>
      <c r="H75" s="999" t="s">
        <v>697</v>
      </c>
      <c r="I75" s="1011">
        <v>0.3920272608695653</v>
      </c>
      <c r="J75" s="1009"/>
      <c r="K75" s="1010">
        <f t="shared" si="2"/>
        <v>0</v>
      </c>
      <c r="L75" s="724"/>
      <c r="M75" s="500"/>
      <c r="N75" s="500"/>
      <c r="O75" s="500"/>
      <c r="P75" s="500"/>
      <c r="Q75" s="500"/>
      <c r="R75" s="666"/>
      <c r="S75" s="437"/>
      <c r="T75" s="663"/>
      <c r="U75" s="526" t="s">
        <v>769</v>
      </c>
      <c r="V75" s="356">
        <f t="shared" si="4"/>
        <v>7.839847552766213</v>
      </c>
      <c r="W75" s="357">
        <v>30</v>
      </c>
      <c r="X75" s="763">
        <v>186.8</v>
      </c>
      <c r="Y75" s="498"/>
      <c r="Z75" s="498"/>
      <c r="AA75" s="518"/>
      <c r="AB75" s="351"/>
    </row>
    <row r="76" spans="1:28" ht="15" customHeight="1">
      <c r="A76" s="425"/>
      <c r="B76" s="723"/>
      <c r="C76" s="466"/>
      <c r="D76" s="303"/>
      <c r="E76" s="330" t="s">
        <v>696</v>
      </c>
      <c r="F76" s="331"/>
      <c r="G76" s="752"/>
      <c r="H76" s="997"/>
      <c r="I76" s="1004"/>
      <c r="J76" s="888"/>
      <c r="K76" s="1010">
        <f t="shared" si="2"/>
        <v>0</v>
      </c>
      <c r="L76" s="724"/>
      <c r="M76" s="500" t="s">
        <v>717</v>
      </c>
      <c r="N76" s="500"/>
      <c r="O76" s="500"/>
      <c r="P76" s="500"/>
      <c r="Q76" s="500"/>
      <c r="R76" s="666"/>
      <c r="S76" s="437"/>
      <c r="T76" s="663"/>
      <c r="U76" s="526" t="s">
        <v>770</v>
      </c>
      <c r="V76" s="356">
        <f t="shared" si="4"/>
        <v>10.690701208317565</v>
      </c>
      <c r="W76" s="357">
        <v>22</v>
      </c>
      <c r="X76" s="763">
        <v>254.7</v>
      </c>
      <c r="Y76" s="498"/>
      <c r="Z76" s="498"/>
      <c r="AA76" s="518"/>
      <c r="AB76" s="351"/>
    </row>
    <row r="77" spans="1:28" ht="15" customHeight="1" thickBot="1">
      <c r="A77" s="425"/>
      <c r="B77" s="723"/>
      <c r="C77" s="466"/>
      <c r="D77" s="332"/>
      <c r="E77" s="333"/>
      <c r="F77" s="334"/>
      <c r="G77" s="755"/>
      <c r="H77" s="1000"/>
      <c r="I77" s="1012"/>
      <c r="J77" s="1013"/>
      <c r="K77" s="1010">
        <f t="shared" si="2"/>
        <v>0</v>
      </c>
      <c r="L77" s="724"/>
      <c r="M77" s="500" t="s">
        <v>709</v>
      </c>
      <c r="N77" s="500"/>
      <c r="O77" s="500"/>
      <c r="P77" s="500"/>
      <c r="Q77" s="500"/>
      <c r="R77" s="666"/>
      <c r="S77" s="437"/>
      <c r="T77" s="663"/>
      <c r="U77" s="526" t="s">
        <v>771</v>
      </c>
      <c r="V77" s="356">
        <f t="shared" si="4"/>
        <v>9.407817063319456</v>
      </c>
      <c r="W77" s="357">
        <v>25</v>
      </c>
      <c r="X77" s="763">
        <v>224.1</v>
      </c>
      <c r="Y77" s="498"/>
      <c r="Z77" s="498"/>
      <c r="AA77" s="518"/>
      <c r="AB77" s="351"/>
    </row>
    <row r="78" spans="1:28" s="301" customFormat="1" ht="15" customHeight="1" thickBot="1" thickTop="1">
      <c r="A78" s="428"/>
      <c r="B78" s="723"/>
      <c r="C78" s="466"/>
      <c r="D78" s="677" t="s">
        <v>698</v>
      </c>
      <c r="E78" s="335"/>
      <c r="F78" s="336"/>
      <c r="G78" s="1044" t="s">
        <v>580</v>
      </c>
      <c r="H78" s="337"/>
      <c r="I78" s="338"/>
      <c r="J78" s="337"/>
      <c r="K78" s="337"/>
      <c r="L78" s="517"/>
      <c r="M78" s="497"/>
      <c r="N78" s="497"/>
      <c r="O78" s="497"/>
      <c r="P78" s="497"/>
      <c r="Q78" s="500"/>
      <c r="R78" s="666"/>
      <c r="S78" s="440"/>
      <c r="T78" s="663"/>
      <c r="U78" s="526" t="s">
        <v>772</v>
      </c>
      <c r="V78" s="356">
        <f t="shared" si="4"/>
        <v>13.066412587943688</v>
      </c>
      <c r="W78" s="357">
        <v>18</v>
      </c>
      <c r="X78" s="763">
        <v>311.3</v>
      </c>
      <c r="Y78" s="498"/>
      <c r="Z78" s="498"/>
      <c r="AA78" s="518"/>
      <c r="AB78" s="351"/>
    </row>
    <row r="79" spans="1:28" ht="15" customHeight="1">
      <c r="A79" s="425"/>
      <c r="B79" s="723"/>
      <c r="C79" s="466"/>
      <c r="D79" s="303"/>
      <c r="E79" s="316" t="s">
        <v>699</v>
      </c>
      <c r="F79" s="317">
        <f>100/(56/3.785*1.6093)</f>
        <v>4.199918331839044</v>
      </c>
      <c r="G79" s="756"/>
      <c r="H79" s="320" t="s">
        <v>701</v>
      </c>
      <c r="I79" s="350">
        <v>0.1000504545010697</v>
      </c>
      <c r="J79" s="752"/>
      <c r="K79" s="321">
        <f aca="true" t="shared" si="5" ref="K79:K91">G79*IF(J79=0,I79,J79)/1000</f>
        <v>0</v>
      </c>
      <c r="L79" s="517"/>
      <c r="M79" s="497"/>
      <c r="N79" s="497"/>
      <c r="O79" s="497"/>
      <c r="P79" s="497"/>
      <c r="Q79" s="500"/>
      <c r="R79" s="666"/>
      <c r="S79" s="437"/>
      <c r="T79" s="663"/>
      <c r="U79" s="526" t="s">
        <v>356</v>
      </c>
      <c r="V79" s="356">
        <f t="shared" si="4"/>
        <v>8.710941725295793</v>
      </c>
      <c r="W79" s="357">
        <v>27</v>
      </c>
      <c r="X79" s="763">
        <v>207.5</v>
      </c>
      <c r="Y79" s="498"/>
      <c r="Z79" s="498"/>
      <c r="AA79" s="518"/>
      <c r="AB79" s="351"/>
    </row>
    <row r="80" spans="1:28" ht="15" customHeight="1">
      <c r="A80" s="425"/>
      <c r="B80" s="723"/>
      <c r="C80" s="466"/>
      <c r="D80" s="303"/>
      <c r="E80" s="318" t="s">
        <v>686</v>
      </c>
      <c r="F80" s="319">
        <f>100/(29/3.785*1.6093)</f>
        <v>8.110187123551254</v>
      </c>
      <c r="G80" s="756"/>
      <c r="H80" s="320" t="s">
        <v>701</v>
      </c>
      <c r="I80" s="350">
        <v>0.19320087765723803</v>
      </c>
      <c r="J80" s="752"/>
      <c r="K80" s="321">
        <f t="shared" si="5"/>
        <v>0</v>
      </c>
      <c r="L80" s="517"/>
      <c r="M80" s="497"/>
      <c r="N80" s="497"/>
      <c r="O80" s="497"/>
      <c r="P80" s="497"/>
      <c r="Q80" s="500"/>
      <c r="R80" s="666"/>
      <c r="S80" s="437"/>
      <c r="T80" s="663"/>
      <c r="U80" s="526" t="s">
        <v>773</v>
      </c>
      <c r="V80" s="356">
        <f t="shared" si="4"/>
        <v>11.759771329149318</v>
      </c>
      <c r="W80" s="357">
        <v>20</v>
      </c>
      <c r="X80" s="763">
        <v>280.1</v>
      </c>
      <c r="Y80" s="498"/>
      <c r="Z80" s="498"/>
      <c r="AA80" s="518"/>
      <c r="AB80" s="351"/>
    </row>
    <row r="81" spans="1:28" ht="15" customHeight="1">
      <c r="A81" s="425"/>
      <c r="B81" s="723"/>
      <c r="C81" s="466"/>
      <c r="D81" s="303"/>
      <c r="E81" s="322" t="s">
        <v>700</v>
      </c>
      <c r="F81" s="323">
        <f>100/(23/3.785*1.6093)</f>
        <v>10.225888112303757</v>
      </c>
      <c r="G81" s="756"/>
      <c r="H81" s="320" t="s">
        <v>701</v>
      </c>
      <c r="I81" s="350">
        <v>0.24360110661130013</v>
      </c>
      <c r="J81" s="752"/>
      <c r="K81" s="321">
        <f t="shared" si="5"/>
        <v>0</v>
      </c>
      <c r="L81" s="517"/>
      <c r="M81" s="497"/>
      <c r="N81" s="497"/>
      <c r="O81" s="497"/>
      <c r="P81" s="497"/>
      <c r="Q81" s="500"/>
      <c r="R81" s="666"/>
      <c r="S81" s="437"/>
      <c r="T81" s="663"/>
      <c r="U81" s="526" t="s">
        <v>357</v>
      </c>
      <c r="V81" s="356">
        <f t="shared" si="4"/>
        <v>9.799809440957768</v>
      </c>
      <c r="W81" s="357">
        <v>24</v>
      </c>
      <c r="X81" s="763">
        <v>233.5</v>
      </c>
      <c r="Y81" s="498"/>
      <c r="Z81" s="498"/>
      <c r="AA81" s="518"/>
      <c r="AB81" s="351"/>
    </row>
    <row r="82" spans="1:28" ht="15" customHeight="1">
      <c r="A82" s="425"/>
      <c r="B82" s="723"/>
      <c r="C82" s="466"/>
      <c r="D82" s="303"/>
      <c r="E82" s="318" t="s">
        <v>688</v>
      </c>
      <c r="F82" s="319">
        <f>100/(19/3.785*1.6093)</f>
        <v>12.378706662262443</v>
      </c>
      <c r="G82" s="756"/>
      <c r="H82" s="320" t="s">
        <v>701</v>
      </c>
      <c r="I82" s="350">
        <v>0.29488555010841594</v>
      </c>
      <c r="J82" s="752"/>
      <c r="K82" s="321">
        <f t="shared" si="5"/>
        <v>0</v>
      </c>
      <c r="L82" s="517"/>
      <c r="M82" s="497"/>
      <c r="N82" s="497"/>
      <c r="O82" s="497"/>
      <c r="P82" s="497"/>
      <c r="Q82" s="500"/>
      <c r="R82" s="666"/>
      <c r="S82" s="437"/>
      <c r="T82" s="663"/>
      <c r="U82" s="526" t="s">
        <v>774</v>
      </c>
      <c r="V82" s="356">
        <f t="shared" si="4"/>
        <v>13.066412587943688</v>
      </c>
      <c r="W82" s="357">
        <v>18</v>
      </c>
      <c r="X82" s="763">
        <v>311.3</v>
      </c>
      <c r="Y82" s="498"/>
      <c r="Z82" s="498"/>
      <c r="AA82" s="518"/>
      <c r="AB82" s="351"/>
    </row>
    <row r="83" spans="1:28" ht="15" customHeight="1">
      <c r="A83" s="425"/>
      <c r="B83" s="723"/>
      <c r="C83" s="466"/>
      <c r="D83" s="325"/>
      <c r="E83" s="328" t="s">
        <v>689</v>
      </c>
      <c r="F83" s="339"/>
      <c r="G83" s="757"/>
      <c r="H83" s="326" t="s">
        <v>701</v>
      </c>
      <c r="I83" s="350">
        <f>I69/1.6093</f>
        <v>0.178</v>
      </c>
      <c r="J83" s="753"/>
      <c r="K83" s="327">
        <f t="shared" si="5"/>
        <v>0</v>
      </c>
      <c r="L83" s="517"/>
      <c r="M83" s="497"/>
      <c r="N83" s="497"/>
      <c r="O83" s="497"/>
      <c r="P83" s="497"/>
      <c r="Q83" s="500"/>
      <c r="R83" s="666"/>
      <c r="S83" s="437"/>
      <c r="T83" s="663"/>
      <c r="U83" s="526" t="s">
        <v>775</v>
      </c>
      <c r="V83" s="356">
        <f t="shared" si="4"/>
        <v>13.066412587943688</v>
      </c>
      <c r="W83" s="357">
        <v>18</v>
      </c>
      <c r="X83" s="763">
        <v>311.3</v>
      </c>
      <c r="Y83" s="498"/>
      <c r="Z83" s="498"/>
      <c r="AA83" s="518"/>
      <c r="AB83" s="351"/>
    </row>
    <row r="84" spans="1:28" ht="15" customHeight="1">
      <c r="A84" s="425"/>
      <c r="B84" s="723"/>
      <c r="C84" s="466"/>
      <c r="D84" s="303"/>
      <c r="E84" s="318" t="s">
        <v>690</v>
      </c>
      <c r="F84" s="319">
        <v>9.799809440957768</v>
      </c>
      <c r="G84" s="756"/>
      <c r="H84" s="320" t="s">
        <v>701</v>
      </c>
      <c r="I84" s="350">
        <v>0.26908032568508056</v>
      </c>
      <c r="J84" s="752"/>
      <c r="K84" s="321">
        <f t="shared" si="5"/>
        <v>0</v>
      </c>
      <c r="L84" s="517"/>
      <c r="M84" s="497"/>
      <c r="N84" s="497"/>
      <c r="O84" s="497"/>
      <c r="P84" s="497"/>
      <c r="Q84" s="500"/>
      <c r="R84" s="666"/>
      <c r="S84" s="437"/>
      <c r="T84" s="663"/>
      <c r="U84" s="526" t="s">
        <v>776</v>
      </c>
      <c r="V84" s="356">
        <f t="shared" si="4"/>
        <v>16.799673327356174</v>
      </c>
      <c r="W84" s="357">
        <v>14</v>
      </c>
      <c r="X84" s="763">
        <v>400.2</v>
      </c>
      <c r="Y84" s="498"/>
      <c r="Z84" s="498"/>
      <c r="AA84" s="518"/>
      <c r="AB84" s="351"/>
    </row>
    <row r="85" spans="1:28" ht="15" customHeight="1">
      <c r="A85" s="425"/>
      <c r="B85" s="723"/>
      <c r="C85" s="466"/>
      <c r="D85" s="303"/>
      <c r="E85" s="318" t="s">
        <v>691</v>
      </c>
      <c r="F85" s="319">
        <v>16.799673327356174</v>
      </c>
      <c r="G85" s="756"/>
      <c r="H85" s="320" t="s">
        <v>701</v>
      </c>
      <c r="I85" s="350">
        <v>0.4002018180042788</v>
      </c>
      <c r="J85" s="752"/>
      <c r="K85" s="321">
        <f t="shared" si="5"/>
        <v>0</v>
      </c>
      <c r="L85" s="517"/>
      <c r="M85" s="497"/>
      <c r="N85" s="497"/>
      <c r="O85" s="497"/>
      <c r="P85" s="497"/>
      <c r="Q85" s="500"/>
      <c r="R85" s="666"/>
      <c r="S85" s="437"/>
      <c r="T85" s="663"/>
      <c r="U85" s="526" t="s">
        <v>777</v>
      </c>
      <c r="V85" s="356">
        <f t="shared" si="4"/>
        <v>10.690701208317565</v>
      </c>
      <c r="W85" s="357">
        <v>22</v>
      </c>
      <c r="X85" s="763">
        <v>254.7</v>
      </c>
      <c r="Y85" s="498"/>
      <c r="Z85" s="498"/>
      <c r="AA85" s="518"/>
      <c r="AB85" s="351"/>
    </row>
    <row r="86" spans="1:28" ht="15" customHeight="1">
      <c r="A86" s="425"/>
      <c r="B86" s="723"/>
      <c r="C86" s="466"/>
      <c r="D86" s="303"/>
      <c r="E86" s="318" t="s">
        <v>692</v>
      </c>
      <c r="F86" s="319">
        <v>39.19923776383107</v>
      </c>
      <c r="G86" s="756"/>
      <c r="H86" s="320" t="s">
        <v>701</v>
      </c>
      <c r="I86" s="350">
        <v>0.9338042420099838</v>
      </c>
      <c r="J86" s="752"/>
      <c r="K86" s="321">
        <f t="shared" si="5"/>
        <v>0</v>
      </c>
      <c r="L86" s="517"/>
      <c r="M86" s="497"/>
      <c r="N86" s="497"/>
      <c r="O86" s="497"/>
      <c r="P86" s="497"/>
      <c r="Q86" s="500"/>
      <c r="R86" s="666"/>
      <c r="S86" s="437"/>
      <c r="T86" s="663"/>
      <c r="U86" s="526" t="s">
        <v>778</v>
      </c>
      <c r="V86" s="356">
        <f t="shared" si="4"/>
        <v>13.835025093116847</v>
      </c>
      <c r="W86" s="357">
        <v>17</v>
      </c>
      <c r="X86" s="763">
        <v>329.6</v>
      </c>
      <c r="Y86" s="498"/>
      <c r="Z86" s="498"/>
      <c r="AA86" s="518"/>
      <c r="AB86" s="351"/>
    </row>
    <row r="87" spans="1:28" ht="15" customHeight="1">
      <c r="A87" s="425"/>
      <c r="B87" s="723"/>
      <c r="C87" s="466"/>
      <c r="D87" s="303"/>
      <c r="E87" s="318" t="s">
        <v>693</v>
      </c>
      <c r="F87" s="319">
        <v>15.679695105532426</v>
      </c>
      <c r="G87" s="756"/>
      <c r="H87" s="320" t="s">
        <v>701</v>
      </c>
      <c r="I87" s="350">
        <v>0.4305285210961287</v>
      </c>
      <c r="J87" s="752"/>
      <c r="K87" s="321">
        <f t="shared" si="5"/>
        <v>0</v>
      </c>
      <c r="L87" s="517"/>
      <c r="M87" s="497"/>
      <c r="N87" s="497"/>
      <c r="O87" s="497"/>
      <c r="P87" s="497"/>
      <c r="Q87" s="500"/>
      <c r="R87" s="666"/>
      <c r="S87" s="437"/>
      <c r="T87" s="663"/>
      <c r="U87" s="526" t="s">
        <v>779</v>
      </c>
      <c r="V87" s="356">
        <f t="shared" si="4"/>
        <v>13.066412587943688</v>
      </c>
      <c r="W87" s="357">
        <v>18</v>
      </c>
      <c r="X87" s="763">
        <v>311.3</v>
      </c>
      <c r="Y87" s="498"/>
      <c r="Z87" s="498"/>
      <c r="AA87" s="518"/>
      <c r="AB87" s="351"/>
    </row>
    <row r="88" spans="1:28" ht="15" customHeight="1">
      <c r="A88" s="425"/>
      <c r="B88" s="723"/>
      <c r="C88" s="466"/>
      <c r="D88" s="303"/>
      <c r="E88" s="318" t="s">
        <v>694</v>
      </c>
      <c r="F88" s="319">
        <v>33.59934665471235</v>
      </c>
      <c r="G88" s="756"/>
      <c r="H88" s="320" t="s">
        <v>701</v>
      </c>
      <c r="I88" s="350">
        <v>0.4305285210961287</v>
      </c>
      <c r="J88" s="752"/>
      <c r="K88" s="321">
        <f t="shared" si="5"/>
        <v>0</v>
      </c>
      <c r="L88" s="517"/>
      <c r="M88" s="497"/>
      <c r="N88" s="497"/>
      <c r="O88" s="497"/>
      <c r="P88" s="497"/>
      <c r="Q88" s="500"/>
      <c r="R88" s="666"/>
      <c r="S88" s="437"/>
      <c r="T88" s="663"/>
      <c r="U88" s="526" t="s">
        <v>780</v>
      </c>
      <c r="V88" s="356">
        <f t="shared" si="4"/>
        <v>15.679695105532426</v>
      </c>
      <c r="W88" s="357">
        <v>15</v>
      </c>
      <c r="X88" s="763">
        <v>373.5</v>
      </c>
      <c r="Y88" s="498"/>
      <c r="Z88" s="498"/>
      <c r="AA88" s="518"/>
      <c r="AB88" s="351"/>
    </row>
    <row r="89" spans="1:28" ht="15" customHeight="1">
      <c r="A89" s="425"/>
      <c r="B89" s="723"/>
      <c r="C89" s="466"/>
      <c r="D89" s="325"/>
      <c r="E89" s="328" t="s">
        <v>695</v>
      </c>
      <c r="F89" s="340">
        <v>3.9199237763831065</v>
      </c>
      <c r="G89" s="757"/>
      <c r="H89" s="326" t="s">
        <v>701</v>
      </c>
      <c r="I89" s="350">
        <v>0.24360110661130013</v>
      </c>
      <c r="J89" s="753"/>
      <c r="K89" s="327">
        <f t="shared" si="5"/>
        <v>0</v>
      </c>
      <c r="L89" s="517"/>
      <c r="M89" s="497"/>
      <c r="N89" s="497"/>
      <c r="O89" s="497"/>
      <c r="P89" s="497"/>
      <c r="Q89" s="500"/>
      <c r="R89" s="666"/>
      <c r="S89" s="437"/>
      <c r="T89" s="663"/>
      <c r="U89" s="526" t="s">
        <v>689</v>
      </c>
      <c r="V89" s="356">
        <f t="shared" si="4"/>
        <v>11.199782218237448</v>
      </c>
      <c r="W89" s="357">
        <v>21</v>
      </c>
      <c r="X89" s="764">
        <v>266</v>
      </c>
      <c r="Y89" s="498" t="s">
        <v>556</v>
      </c>
      <c r="Z89" s="498"/>
      <c r="AA89" s="518"/>
      <c r="AB89" s="351"/>
    </row>
    <row r="90" spans="1:28" ht="15" customHeight="1">
      <c r="A90" s="425"/>
      <c r="B90" s="723"/>
      <c r="C90" s="466"/>
      <c r="D90" s="303"/>
      <c r="E90" s="330" t="s">
        <v>696</v>
      </c>
      <c r="F90" s="331"/>
      <c r="G90" s="752"/>
      <c r="H90" s="320"/>
      <c r="I90" s="350"/>
      <c r="J90" s="752"/>
      <c r="K90" s="327">
        <f t="shared" si="5"/>
        <v>0</v>
      </c>
      <c r="L90" s="517"/>
      <c r="M90" s="500" t="s">
        <v>708</v>
      </c>
      <c r="N90" s="497"/>
      <c r="O90" s="500"/>
      <c r="P90" s="500"/>
      <c r="Q90" s="500"/>
      <c r="R90" s="666"/>
      <c r="S90" s="437"/>
      <c r="T90" s="663"/>
      <c r="U90" s="526" t="s">
        <v>781</v>
      </c>
      <c r="V90" s="356">
        <f t="shared" si="4"/>
        <v>9.799809440957768</v>
      </c>
      <c r="W90" s="357">
        <v>24</v>
      </c>
      <c r="X90" s="764">
        <v>233</v>
      </c>
      <c r="Y90" s="498" t="s">
        <v>557</v>
      </c>
      <c r="Z90" s="498"/>
      <c r="AA90" s="518"/>
      <c r="AB90" s="351"/>
    </row>
    <row r="91" spans="1:28" ht="15" customHeight="1">
      <c r="A91" s="425"/>
      <c r="B91" s="723"/>
      <c r="C91" s="466"/>
      <c r="D91" s="325"/>
      <c r="E91" s="475"/>
      <c r="F91" s="476"/>
      <c r="G91" s="753"/>
      <c r="H91" s="326"/>
      <c r="I91" s="760"/>
      <c r="J91" s="753"/>
      <c r="K91" s="327">
        <f t="shared" si="5"/>
        <v>0</v>
      </c>
      <c r="L91" s="517"/>
      <c r="M91" s="500" t="s">
        <v>709</v>
      </c>
      <c r="N91" s="497"/>
      <c r="O91" s="500"/>
      <c r="P91" s="500"/>
      <c r="Q91" s="500"/>
      <c r="R91" s="666"/>
      <c r="S91" s="437"/>
      <c r="T91" s="663"/>
      <c r="U91" s="526" t="s">
        <v>782</v>
      </c>
      <c r="V91" s="356">
        <f t="shared" si="4"/>
        <v>16.799673327356174</v>
      </c>
      <c r="W91" s="357">
        <v>14</v>
      </c>
      <c r="X91" s="764">
        <v>400</v>
      </c>
      <c r="Y91" s="498" t="s">
        <v>358</v>
      </c>
      <c r="Z91" s="498"/>
      <c r="AA91" s="518"/>
      <c r="AB91" s="351"/>
    </row>
    <row r="92" spans="1:28" ht="15" customHeight="1">
      <c r="A92" s="425"/>
      <c r="B92" s="721"/>
      <c r="C92" s="477" t="s">
        <v>705</v>
      </c>
      <c r="D92" s="678"/>
      <c r="E92" s="478"/>
      <c r="F92" s="478"/>
      <c r="G92" s="630"/>
      <c r="H92" s="479"/>
      <c r="I92" s="478"/>
      <c r="J92" s="631"/>
      <c r="K92" s="480">
        <f>SUM(K93:K99)</f>
        <v>0</v>
      </c>
      <c r="L92" s="515"/>
      <c r="M92" s="487"/>
      <c r="N92" s="487"/>
      <c r="O92" s="487"/>
      <c r="P92" s="487"/>
      <c r="Q92" s="487"/>
      <c r="R92" s="666"/>
      <c r="S92" s="437"/>
      <c r="T92" s="663"/>
      <c r="U92" s="526" t="s">
        <v>783</v>
      </c>
      <c r="V92" s="356">
        <f t="shared" si="4"/>
        <v>39.19923776383107</v>
      </c>
      <c r="W92" s="357">
        <v>6</v>
      </c>
      <c r="X92" s="764">
        <v>1020</v>
      </c>
      <c r="Y92" s="498"/>
      <c r="Z92" s="498"/>
      <c r="AA92" s="518"/>
      <c r="AB92" s="351"/>
    </row>
    <row r="93" spans="1:28" ht="15" customHeight="1">
      <c r="A93" s="425"/>
      <c r="B93" s="723"/>
      <c r="C93" s="466"/>
      <c r="D93" s="303"/>
      <c r="E93" s="318" t="s">
        <v>702</v>
      </c>
      <c r="F93" s="346"/>
      <c r="G93" s="758"/>
      <c r="H93" s="320" t="s">
        <v>867</v>
      </c>
      <c r="I93" s="1004">
        <v>0.028724</v>
      </c>
      <c r="J93" s="903"/>
      <c r="K93" s="1005">
        <f aca="true" t="shared" si="6" ref="K93:K99">G93*IF(J93=0,I93,J93)/1000</f>
        <v>0</v>
      </c>
      <c r="L93" s="517"/>
      <c r="M93" s="497"/>
      <c r="N93" s="497"/>
      <c r="O93" s="497"/>
      <c r="P93" s="497"/>
      <c r="Q93" s="500"/>
      <c r="R93" s="666"/>
      <c r="S93" s="437"/>
      <c r="T93" s="663"/>
      <c r="U93" s="526" t="s">
        <v>784</v>
      </c>
      <c r="V93" s="356">
        <f t="shared" si="4"/>
        <v>15.679695105532426</v>
      </c>
      <c r="W93" s="357">
        <v>15</v>
      </c>
      <c r="X93" s="764">
        <v>330</v>
      </c>
      <c r="Y93" s="498"/>
      <c r="Z93" s="498"/>
      <c r="AA93" s="518"/>
      <c r="AB93" s="351"/>
    </row>
    <row r="94" spans="1:28" ht="15" customHeight="1">
      <c r="A94" s="425"/>
      <c r="B94" s="723"/>
      <c r="C94" s="466"/>
      <c r="D94" s="325"/>
      <c r="E94" s="318" t="s">
        <v>702</v>
      </c>
      <c r="F94" s="343"/>
      <c r="G94" s="756"/>
      <c r="H94" s="344" t="s">
        <v>868</v>
      </c>
      <c r="I94" s="1008">
        <v>0.02</v>
      </c>
      <c r="J94" s="888"/>
      <c r="K94" s="1005">
        <f t="shared" si="6"/>
        <v>0</v>
      </c>
      <c r="L94" s="517"/>
      <c r="M94" s="497"/>
      <c r="N94" s="497"/>
      <c r="O94" s="497"/>
      <c r="P94" s="497"/>
      <c r="Q94" s="500"/>
      <c r="R94" s="666"/>
      <c r="S94" s="437"/>
      <c r="T94" s="663"/>
      <c r="U94" s="526" t="s">
        <v>785</v>
      </c>
      <c r="V94" s="356">
        <f t="shared" si="4"/>
        <v>33.59934665471235</v>
      </c>
      <c r="W94" s="357">
        <v>7</v>
      </c>
      <c r="X94" s="764">
        <v>1010</v>
      </c>
      <c r="Y94" s="498"/>
      <c r="Z94" s="498"/>
      <c r="AA94" s="518"/>
      <c r="AB94" s="351"/>
    </row>
    <row r="95" spans="1:28" ht="15" customHeight="1">
      <c r="A95" s="425"/>
      <c r="B95" s="723"/>
      <c r="C95" s="466"/>
      <c r="D95" s="303"/>
      <c r="E95" s="322" t="s">
        <v>703</v>
      </c>
      <c r="F95" s="346"/>
      <c r="G95" s="758"/>
      <c r="H95" s="320" t="s">
        <v>867</v>
      </c>
      <c r="I95" s="1004">
        <f>I93*2</f>
        <v>0.057448</v>
      </c>
      <c r="J95" s="903"/>
      <c r="K95" s="1007">
        <f t="shared" si="6"/>
        <v>0</v>
      </c>
      <c r="L95" s="517"/>
      <c r="M95" s="497"/>
      <c r="N95" s="497"/>
      <c r="O95" s="497"/>
      <c r="P95" s="497"/>
      <c r="Q95" s="500"/>
      <c r="R95" s="666"/>
      <c r="S95" s="437"/>
      <c r="T95" s="663"/>
      <c r="U95" s="526" t="s">
        <v>786</v>
      </c>
      <c r="V95" s="356">
        <f t="shared" si="4"/>
        <v>3.9199237763831065</v>
      </c>
      <c r="W95" s="357">
        <v>60</v>
      </c>
      <c r="X95" s="763">
        <v>93.4</v>
      </c>
      <c r="Y95" s="498"/>
      <c r="Z95" s="498"/>
      <c r="AA95" s="518"/>
      <c r="AB95" s="351"/>
    </row>
    <row r="96" spans="1:28" ht="15" customHeight="1">
      <c r="A96" s="425"/>
      <c r="B96" s="723"/>
      <c r="C96" s="466"/>
      <c r="D96" s="325"/>
      <c r="E96" s="318" t="s">
        <v>703</v>
      </c>
      <c r="F96" s="346"/>
      <c r="G96" s="756"/>
      <c r="H96" s="344" t="s">
        <v>868</v>
      </c>
      <c r="I96" s="1011">
        <f>I94*2</f>
        <v>0.04</v>
      </c>
      <c r="J96" s="1009"/>
      <c r="K96" s="1010">
        <f t="shared" si="6"/>
        <v>0</v>
      </c>
      <c r="L96" s="517"/>
      <c r="M96" s="497"/>
      <c r="N96" s="497"/>
      <c r="O96" s="497"/>
      <c r="P96" s="497"/>
      <c r="Q96" s="500"/>
      <c r="R96" s="666"/>
      <c r="S96" s="437"/>
      <c r="T96" s="663"/>
      <c r="U96" s="526" t="s">
        <v>787</v>
      </c>
      <c r="V96" s="356"/>
      <c r="W96" s="357"/>
      <c r="X96" s="763">
        <v>219</v>
      </c>
      <c r="Y96" s="498"/>
      <c r="Z96" s="498"/>
      <c r="AA96" s="518"/>
      <c r="AB96" s="351"/>
    </row>
    <row r="97" spans="1:28" ht="15" customHeight="1">
      <c r="A97" s="425"/>
      <c r="B97" s="723"/>
      <c r="C97" s="466"/>
      <c r="D97" s="303"/>
      <c r="E97" s="322" t="s">
        <v>704</v>
      </c>
      <c r="F97" s="342"/>
      <c r="G97" s="758"/>
      <c r="H97" s="324" t="s">
        <v>867</v>
      </c>
      <c r="I97" s="1004">
        <f>I93*26.3/20.2</f>
        <v>0.03739807920792079</v>
      </c>
      <c r="J97" s="888"/>
      <c r="K97" s="1005">
        <f t="shared" si="6"/>
        <v>0</v>
      </c>
      <c r="L97" s="517"/>
      <c r="M97" s="497"/>
      <c r="N97" s="497"/>
      <c r="O97" s="497"/>
      <c r="P97" s="497"/>
      <c r="Q97" s="500"/>
      <c r="R97" s="666"/>
      <c r="S97" s="437"/>
      <c r="T97" s="663"/>
      <c r="U97" s="526" t="s">
        <v>788</v>
      </c>
      <c r="V97" s="356">
        <f>100/(W97/3.785*1.6093)</f>
        <v>35.10379501238603</v>
      </c>
      <c r="W97" s="357">
        <v>6.7</v>
      </c>
      <c r="X97" s="764">
        <v>1034.6</v>
      </c>
      <c r="Y97" s="498"/>
      <c r="Z97" s="498"/>
      <c r="AA97" s="518"/>
      <c r="AB97" s="351"/>
    </row>
    <row r="98" spans="1:28" ht="15" customHeight="1">
      <c r="A98" s="425"/>
      <c r="B98" s="723"/>
      <c r="C98" s="466"/>
      <c r="D98" s="303"/>
      <c r="E98" s="322" t="s">
        <v>704</v>
      </c>
      <c r="F98" s="342"/>
      <c r="G98" s="758"/>
      <c r="H98" s="324" t="s">
        <v>868</v>
      </c>
      <c r="I98" s="1006">
        <f>I94*26.3/20.2</f>
        <v>0.026039603960396042</v>
      </c>
      <c r="J98" s="888"/>
      <c r="K98" s="1005">
        <f t="shared" si="6"/>
        <v>0</v>
      </c>
      <c r="L98" s="517"/>
      <c r="M98" s="497"/>
      <c r="N98" s="497"/>
      <c r="O98" s="497"/>
      <c r="P98" s="497"/>
      <c r="Q98" s="500"/>
      <c r="R98" s="666"/>
      <c r="S98" s="437"/>
      <c r="T98" s="465"/>
      <c r="U98" s="498"/>
      <c r="V98" s="498"/>
      <c r="W98" s="498"/>
      <c r="X98" s="498"/>
      <c r="Y98" s="498"/>
      <c r="Z98" s="498"/>
      <c r="AA98" s="518"/>
      <c r="AB98" s="351"/>
    </row>
    <row r="99" spans="1:28" ht="15" customHeight="1">
      <c r="A99" s="425"/>
      <c r="B99" s="723"/>
      <c r="C99" s="466"/>
      <c r="D99" s="325"/>
      <c r="E99" s="481"/>
      <c r="F99" s="482"/>
      <c r="G99" s="759"/>
      <c r="H99" s="483"/>
      <c r="I99" s="1011"/>
      <c r="J99" s="1009"/>
      <c r="K99" s="1010">
        <f t="shared" si="6"/>
        <v>0</v>
      </c>
      <c r="L99" s="517"/>
      <c r="M99" s="497"/>
      <c r="N99" s="497"/>
      <c r="O99" s="497"/>
      <c r="P99" s="497"/>
      <c r="Q99" s="500"/>
      <c r="R99" s="666"/>
      <c r="S99" s="437"/>
      <c r="T99" s="465"/>
      <c r="U99" s="566" t="s">
        <v>762</v>
      </c>
      <c r="V99" s="1187" t="s">
        <v>763</v>
      </c>
      <c r="W99" s="1188"/>
      <c r="X99" s="567"/>
      <c r="Y99" s="498"/>
      <c r="Z99" s="498"/>
      <c r="AA99" s="518"/>
      <c r="AB99" s="351"/>
    </row>
    <row r="100" spans="1:28" ht="15" customHeight="1">
      <c r="A100" s="425"/>
      <c r="B100" s="721"/>
      <c r="C100" s="477" t="s">
        <v>706</v>
      </c>
      <c r="D100" s="679"/>
      <c r="E100" s="478"/>
      <c r="F100" s="478"/>
      <c r="G100" s="479"/>
      <c r="H100" s="479"/>
      <c r="I100" s="478"/>
      <c r="J100" s="478"/>
      <c r="K100" s="480">
        <f>SUM(K101:K105)</f>
        <v>0</v>
      </c>
      <c r="L100" s="515"/>
      <c r="M100" s="487"/>
      <c r="N100" s="487"/>
      <c r="O100" s="487"/>
      <c r="P100" s="487"/>
      <c r="Q100" s="487"/>
      <c r="R100" s="666"/>
      <c r="S100" s="437"/>
      <c r="T100" s="465"/>
      <c r="U100" s="562"/>
      <c r="V100" s="565" t="s">
        <v>764</v>
      </c>
      <c r="W100" s="563" t="s">
        <v>872</v>
      </c>
      <c r="X100" s="564"/>
      <c r="Y100" s="498"/>
      <c r="Z100" s="498"/>
      <c r="AA100" s="518"/>
      <c r="AB100" s="351"/>
    </row>
    <row r="101" spans="1:28" ht="15" customHeight="1">
      <c r="A101" s="425"/>
      <c r="B101" s="723"/>
      <c r="C101" s="466"/>
      <c r="D101" s="484"/>
      <c r="E101" s="322" t="s">
        <v>710</v>
      </c>
      <c r="F101" s="342"/>
      <c r="G101" s="758"/>
      <c r="H101" s="324" t="s">
        <v>867</v>
      </c>
      <c r="I101" s="1006">
        <v>0.051087228500000005</v>
      </c>
      <c r="J101" s="903"/>
      <c r="K101" s="1007">
        <f>G101*IF(J101=0,I101,J101)/1000</f>
        <v>0</v>
      </c>
      <c r="L101" s="517"/>
      <c r="M101" s="497"/>
      <c r="N101" s="497"/>
      <c r="O101" s="497"/>
      <c r="P101" s="497"/>
      <c r="Q101" s="500"/>
      <c r="R101" s="666"/>
      <c r="S101" s="437"/>
      <c r="T101" s="663"/>
      <c r="U101" s="546" t="s">
        <v>765</v>
      </c>
      <c r="V101" s="547">
        <f>100/(W101/3.785*1.6093)</f>
        <v>11.759771329149318</v>
      </c>
      <c r="W101" s="1015">
        <v>20</v>
      </c>
      <c r="X101" s="1016">
        <v>280.1412726029952</v>
      </c>
      <c r="Y101" s="498"/>
      <c r="Z101" s="498"/>
      <c r="AA101" s="518"/>
      <c r="AB101" s="351"/>
    </row>
    <row r="102" spans="1:28" ht="15" customHeight="1">
      <c r="A102" s="425"/>
      <c r="B102" s="723"/>
      <c r="C102" s="466"/>
      <c r="D102" s="345"/>
      <c r="E102" s="318" t="s">
        <v>710</v>
      </c>
      <c r="F102" s="342"/>
      <c r="G102" s="758"/>
      <c r="H102" s="324" t="s">
        <v>868</v>
      </c>
      <c r="I102" s="1004">
        <v>0.035</v>
      </c>
      <c r="J102" s="888"/>
      <c r="K102" s="1005">
        <f>G102*IF(J102=0,I102,J102)/1000</f>
        <v>0</v>
      </c>
      <c r="L102" s="517"/>
      <c r="M102" s="497"/>
      <c r="N102" s="497"/>
      <c r="O102" s="497"/>
      <c r="P102" s="497"/>
      <c r="Q102" s="500"/>
      <c r="R102" s="666"/>
      <c r="S102" s="437"/>
      <c r="T102" s="663"/>
      <c r="U102" s="527" t="s">
        <v>765</v>
      </c>
      <c r="V102" s="356">
        <f>100/(W102/3.785*1.6093)</f>
        <v>23.519542658298636</v>
      </c>
      <c r="W102" s="765">
        <v>10</v>
      </c>
      <c r="X102" s="1017">
        <v>560.2825452059903</v>
      </c>
      <c r="Y102" s="498"/>
      <c r="Z102" s="498"/>
      <c r="AA102" s="518"/>
      <c r="AB102" s="351"/>
    </row>
    <row r="103" spans="1:28" ht="15" customHeight="1">
      <c r="A103" s="425"/>
      <c r="B103" s="723"/>
      <c r="C103" s="466"/>
      <c r="D103" s="345"/>
      <c r="E103" s="318" t="s">
        <v>711</v>
      </c>
      <c r="F103" s="341"/>
      <c r="G103" s="757"/>
      <c r="H103" s="324" t="s">
        <v>867</v>
      </c>
      <c r="I103" s="1004">
        <v>0.014596350999999999</v>
      </c>
      <c r="J103" s="888"/>
      <c r="K103" s="1005">
        <f>G103*IF(J103=0,I103,J103)/1000</f>
        <v>0</v>
      </c>
      <c r="L103" s="517"/>
      <c r="M103" s="497"/>
      <c r="N103" s="497"/>
      <c r="O103" s="497"/>
      <c r="P103" s="497"/>
      <c r="Q103" s="500"/>
      <c r="R103" s="666"/>
      <c r="S103" s="437"/>
      <c r="T103" s="663"/>
      <c r="U103" s="527" t="s">
        <v>359</v>
      </c>
      <c r="V103" s="356">
        <f>100/(W103/3.785*1.6093)</f>
        <v>23.519542658298636</v>
      </c>
      <c r="W103" s="765">
        <v>10</v>
      </c>
      <c r="X103" s="1017">
        <v>560.2825452059903</v>
      </c>
      <c r="Y103" s="498"/>
      <c r="Z103" s="498"/>
      <c r="AA103" s="518"/>
      <c r="AB103" s="351"/>
    </row>
    <row r="104" spans="1:28" ht="15" customHeight="1">
      <c r="A104" s="425"/>
      <c r="B104" s="723"/>
      <c r="C104" s="466"/>
      <c r="D104" s="345"/>
      <c r="E104" s="318" t="s">
        <v>711</v>
      </c>
      <c r="F104" s="346"/>
      <c r="G104" s="756"/>
      <c r="H104" s="320" t="s">
        <v>868</v>
      </c>
      <c r="I104" s="1004">
        <v>0.01</v>
      </c>
      <c r="J104" s="888"/>
      <c r="K104" s="1005">
        <f>G104*IF(J104=0,I104,J104)/1000</f>
        <v>0</v>
      </c>
      <c r="L104" s="517"/>
      <c r="M104" s="497"/>
      <c r="N104" s="497"/>
      <c r="O104" s="497"/>
      <c r="P104" s="497"/>
      <c r="Q104" s="500"/>
      <c r="R104" s="666"/>
      <c r="S104" s="437"/>
      <c r="T104" s="663"/>
      <c r="U104" s="527" t="s">
        <v>765</v>
      </c>
      <c r="V104" s="765">
        <v>10</v>
      </c>
      <c r="W104" s="1018">
        <f>1/(V104/3.785/100*1.6093)</f>
        <v>23.51954265829864</v>
      </c>
      <c r="X104" s="1017">
        <v>243.60110661130014</v>
      </c>
      <c r="Y104" s="498"/>
      <c r="Z104" s="498"/>
      <c r="AA104" s="518"/>
      <c r="AB104" s="351"/>
    </row>
    <row r="105" spans="1:28" ht="15" customHeight="1">
      <c r="A105" s="425"/>
      <c r="B105" s="723"/>
      <c r="C105" s="466"/>
      <c r="D105" s="303"/>
      <c r="E105" s="347"/>
      <c r="F105" s="348"/>
      <c r="G105" s="756"/>
      <c r="H105" s="349"/>
      <c r="I105" s="1004"/>
      <c r="J105" s="888"/>
      <c r="K105" s="1005">
        <f>G105*IF(J105=0,I105,J105)/1000</f>
        <v>0</v>
      </c>
      <c r="L105" s="517"/>
      <c r="M105" s="497"/>
      <c r="N105" s="497"/>
      <c r="O105" s="497"/>
      <c r="P105" s="497"/>
      <c r="Q105" s="500"/>
      <c r="R105" s="666"/>
      <c r="S105" s="437"/>
      <c r="T105" s="663"/>
      <c r="U105" s="527" t="s">
        <v>765</v>
      </c>
      <c r="V105" s="765">
        <v>10</v>
      </c>
      <c r="W105" s="1018">
        <f>1/(V105/3.785/100*1.6093)</f>
        <v>23.51954265829864</v>
      </c>
      <c r="X105" s="1017">
        <v>243.60110661130014</v>
      </c>
      <c r="Y105" s="498"/>
      <c r="Z105" s="498"/>
      <c r="AA105" s="518"/>
      <c r="AB105" s="351"/>
    </row>
    <row r="106" spans="1:28" ht="15" customHeight="1">
      <c r="A106" s="425"/>
      <c r="B106" s="723"/>
      <c r="C106" s="725"/>
      <c r="D106" s="466"/>
      <c r="E106" s="466"/>
      <c r="F106" s="466"/>
      <c r="G106" s="494"/>
      <c r="H106" s="466"/>
      <c r="I106" s="495"/>
      <c r="J106" s="466"/>
      <c r="K106" s="496"/>
      <c r="L106" s="517"/>
      <c r="M106" s="497"/>
      <c r="N106" s="497"/>
      <c r="O106" s="497"/>
      <c r="P106" s="497"/>
      <c r="Q106" s="500"/>
      <c r="R106" s="666"/>
      <c r="S106" s="437"/>
      <c r="T106" s="663"/>
      <c r="U106" s="527" t="s">
        <v>359</v>
      </c>
      <c r="V106" s="765">
        <v>10</v>
      </c>
      <c r="W106" s="1018">
        <f>1/(V106/3.785/100*1.6093)</f>
        <v>23.51954265829864</v>
      </c>
      <c r="X106" s="1017">
        <v>243.60110661130014</v>
      </c>
      <c r="Y106" s="498"/>
      <c r="Z106" s="498"/>
      <c r="AA106" s="518"/>
      <c r="AB106" s="351"/>
    </row>
    <row r="107" spans="1:28" ht="20.25" customHeight="1" thickBot="1">
      <c r="A107" s="425"/>
      <c r="B107" s="721"/>
      <c r="C107" s="477" t="s">
        <v>712</v>
      </c>
      <c r="D107" s="485"/>
      <c r="E107" s="478"/>
      <c r="F107" s="478"/>
      <c r="G107" s="478"/>
      <c r="H107" s="478"/>
      <c r="I107" s="479"/>
      <c r="J107" s="478"/>
      <c r="K107" s="486">
        <f>SUM(K63:K106)/2</f>
        <v>0</v>
      </c>
      <c r="L107" s="520"/>
      <c r="M107" s="519"/>
      <c r="N107" s="519"/>
      <c r="O107" s="519"/>
      <c r="P107" s="519"/>
      <c r="Q107" s="519"/>
      <c r="R107" s="667"/>
      <c r="S107" s="455"/>
      <c r="T107" s="542"/>
      <c r="U107" s="523"/>
      <c r="V107" s="543"/>
      <c r="W107" s="544"/>
      <c r="X107" s="545"/>
      <c r="Y107" s="521"/>
      <c r="Z107" s="521"/>
      <c r="AA107" s="524"/>
      <c r="AB107" s="351"/>
    </row>
    <row r="108" spans="1:27" ht="15" customHeight="1" thickTop="1">
      <c r="A108" s="525"/>
      <c r="B108" s="666"/>
      <c r="C108" s="465"/>
      <c r="D108" s="465"/>
      <c r="E108" s="465"/>
      <c r="F108" s="465"/>
      <c r="G108" s="465"/>
      <c r="H108" s="465"/>
      <c r="I108" s="465"/>
      <c r="J108" s="582"/>
      <c r="K108" s="465"/>
      <c r="L108" s="514"/>
      <c r="M108" s="465"/>
      <c r="N108" s="465"/>
      <c r="O108" s="465"/>
      <c r="P108" s="465"/>
      <c r="Q108" s="518"/>
      <c r="R108" s="351"/>
      <c r="S108" s="358"/>
      <c r="T108" s="352"/>
      <c r="U108" s="359"/>
      <c r="V108" s="306"/>
      <c r="W108" s="360"/>
      <c r="X108" s="351"/>
      <c r="Y108" s="351"/>
      <c r="Z108" s="351"/>
      <c r="AA108" s="351"/>
    </row>
    <row r="109" spans="1:17" ht="15" customHeight="1">
      <c r="A109" s="525"/>
      <c r="B109" s="666"/>
      <c r="C109" s="465"/>
      <c r="D109" s="465"/>
      <c r="E109" s="465"/>
      <c r="F109" s="465"/>
      <c r="G109" s="465"/>
      <c r="H109" s="465"/>
      <c r="I109" s="465"/>
      <c r="J109" s="582"/>
      <c r="K109" s="465"/>
      <c r="L109" s="514"/>
      <c r="M109" s="465"/>
      <c r="N109" s="465"/>
      <c r="O109" s="465"/>
      <c r="P109" s="465"/>
      <c r="Q109" s="518"/>
    </row>
    <row r="110" spans="1:17" ht="15" customHeight="1" thickBot="1">
      <c r="A110" s="525"/>
      <c r="B110" s="667"/>
      <c r="C110" s="521"/>
      <c r="D110" s="521"/>
      <c r="E110" s="521"/>
      <c r="F110" s="521"/>
      <c r="G110" s="521"/>
      <c r="H110" s="521"/>
      <c r="I110" s="521"/>
      <c r="J110" s="522"/>
      <c r="K110" s="521"/>
      <c r="L110" s="726"/>
      <c r="M110" s="521"/>
      <c r="N110" s="521"/>
      <c r="O110" s="521"/>
      <c r="P110" s="521"/>
      <c r="Q110" s="524"/>
    </row>
    <row r="111" spans="4:17" ht="15" customHeight="1" thickTop="1">
      <c r="D111" s="284"/>
      <c r="I111" s="284"/>
      <c r="K111" s="314"/>
      <c r="L111" s="314"/>
      <c r="M111" s="314"/>
      <c r="N111" s="314"/>
      <c r="O111" s="314"/>
      <c r="P111" s="314"/>
      <c r="Q111" s="314"/>
    </row>
    <row r="112" spans="2:18" s="4" customFormat="1" ht="18" customHeight="1" thickBot="1">
      <c r="B112" s="555"/>
      <c r="C112" s="555"/>
      <c r="D112" s="555"/>
      <c r="E112" s="556"/>
      <c r="F112" s="557"/>
      <c r="G112" s="558"/>
      <c r="H112" s="559"/>
      <c r="I112" s="559"/>
      <c r="J112" s="559"/>
      <c r="K112" s="559"/>
      <c r="L112" s="1"/>
      <c r="M112" s="1"/>
      <c r="N112" s="1"/>
      <c r="O112" s="1"/>
      <c r="P112" s="1"/>
      <c r="Q112" s="1"/>
      <c r="R112" s="1"/>
    </row>
    <row r="113" spans="2:18" s="4" customFormat="1" ht="29.25" customHeight="1" thickBot="1" thickTop="1">
      <c r="B113" s="686" t="s">
        <v>168</v>
      </c>
      <c r="C113" s="717"/>
      <c r="D113" s="717"/>
      <c r="E113" s="717"/>
      <c r="F113" s="717"/>
      <c r="G113" s="717"/>
      <c r="H113" s="717"/>
      <c r="I113" s="717"/>
      <c r="J113" s="717"/>
      <c r="K113" s="687"/>
      <c r="L113" s="53"/>
      <c r="M113" s="54"/>
      <c r="N113" s="1"/>
      <c r="O113" s="1"/>
      <c r="P113" s="1"/>
      <c r="Q113" s="1"/>
      <c r="R113" s="1"/>
    </row>
    <row r="114" spans="1:38" ht="28.5" customHeight="1" thickTop="1">
      <c r="A114" s="425"/>
      <c r="B114" s="467" t="s">
        <v>561</v>
      </c>
      <c r="C114" s="63"/>
      <c r="D114" s="468"/>
      <c r="E114" s="468"/>
      <c r="F114" s="469"/>
      <c r="G114" s="470"/>
      <c r="H114" s="470"/>
      <c r="I114" s="470"/>
      <c r="J114" s="471"/>
      <c r="K114" s="470"/>
      <c r="L114" s="63"/>
      <c r="M114" s="437"/>
      <c r="N114" s="569"/>
      <c r="O114" s="569"/>
      <c r="P114" s="569"/>
      <c r="Q114" s="569"/>
      <c r="R114" s="569"/>
      <c r="S114" s="665"/>
      <c r="T114" s="52"/>
      <c r="U114" s="53"/>
      <c r="V114" s="135"/>
      <c r="W114" s="135"/>
      <c r="X114" s="135"/>
      <c r="Y114" s="53"/>
      <c r="Z114" s="53"/>
      <c r="AA114" s="53"/>
      <c r="AB114" s="53"/>
      <c r="AC114" s="244"/>
      <c r="AD114" s="598"/>
      <c r="AE114" s="53"/>
      <c r="AF114" s="53"/>
      <c r="AG114" s="53"/>
      <c r="AH114" s="53"/>
      <c r="AI114" s="53"/>
      <c r="AJ114" s="53"/>
      <c r="AK114" s="53"/>
      <c r="AL114" s="54"/>
    </row>
    <row r="115" spans="1:38" s="4" customFormat="1" ht="18" customHeight="1">
      <c r="A115" s="367"/>
      <c r="B115" s="727"/>
      <c r="C115" s="552"/>
      <c r="D115" s="552"/>
      <c r="E115" s="553"/>
      <c r="F115" s="554"/>
      <c r="G115" s="181"/>
      <c r="H115" s="63"/>
      <c r="I115" s="63"/>
      <c r="J115" s="63"/>
      <c r="K115" s="63"/>
      <c r="L115" s="63"/>
      <c r="M115" s="56"/>
      <c r="N115" s="63"/>
      <c r="O115" s="63"/>
      <c r="P115" s="63"/>
      <c r="Q115" s="63"/>
      <c r="R115" s="63"/>
      <c r="S115" s="56"/>
      <c r="T115" s="87"/>
      <c r="U115" s="584"/>
      <c r="V115" s="587"/>
      <c r="W115" s="587"/>
      <c r="X115" s="587"/>
      <c r="Y115" s="583"/>
      <c r="Z115" s="589"/>
      <c r="AA115" s="590"/>
      <c r="AB115" s="590"/>
      <c r="AC115" s="587"/>
      <c r="AD115" s="587"/>
      <c r="AE115" s="587"/>
      <c r="AF115" s="587"/>
      <c r="AG115" s="587"/>
      <c r="AH115" s="587"/>
      <c r="AI115" s="587"/>
      <c r="AJ115" s="587"/>
      <c r="AK115" s="583"/>
      <c r="AL115" s="84"/>
    </row>
    <row r="116" spans="2:38" s="4" customFormat="1" ht="18" customHeight="1">
      <c r="B116" s="560" t="s">
        <v>713</v>
      </c>
      <c r="C116" s="63"/>
      <c r="D116" s="181"/>
      <c r="E116" s="181"/>
      <c r="F116" s="181"/>
      <c r="G116" s="63"/>
      <c r="H116" s="63"/>
      <c r="I116" s="63"/>
      <c r="J116" s="63"/>
      <c r="K116" s="63"/>
      <c r="L116" s="63"/>
      <c r="M116" s="56"/>
      <c r="N116" s="63"/>
      <c r="O116" s="63"/>
      <c r="P116" s="63"/>
      <c r="Q116" s="63"/>
      <c r="R116" s="63"/>
      <c r="S116" s="56"/>
      <c r="T116" s="87"/>
      <c r="U116" s="599"/>
      <c r="V116" s="642" t="s">
        <v>756</v>
      </c>
      <c r="W116" s="643"/>
      <c r="X116" s="643"/>
      <c r="Y116" s="644"/>
      <c r="Z116" s="591" t="s">
        <v>757</v>
      </c>
      <c r="AA116" s="592"/>
      <c r="AB116" s="592"/>
      <c r="AC116" s="592"/>
      <c r="AD116" s="593"/>
      <c r="AE116" s="593"/>
      <c r="AF116" s="593"/>
      <c r="AG116" s="593"/>
      <c r="AH116" s="593"/>
      <c r="AI116" s="593"/>
      <c r="AJ116" s="593"/>
      <c r="AK116" s="594"/>
      <c r="AL116" s="84"/>
    </row>
    <row r="117" spans="2:38" s="4" customFormat="1" ht="18" customHeight="1">
      <c r="B117" s="55"/>
      <c r="C117" s="63"/>
      <c r="D117" s="136"/>
      <c r="E117" s="1119" t="s">
        <v>469</v>
      </c>
      <c r="F117" s="1120"/>
      <c r="G117" s="1119" t="s">
        <v>470</v>
      </c>
      <c r="H117" s="1120"/>
      <c r="I117" s="3" t="s">
        <v>471</v>
      </c>
      <c r="J117" s="129"/>
      <c r="K117" s="573"/>
      <c r="L117" s="63"/>
      <c r="M117" s="56"/>
      <c r="N117" s="63"/>
      <c r="O117" s="63"/>
      <c r="P117" s="63"/>
      <c r="Q117" s="63"/>
      <c r="R117" s="63"/>
      <c r="S117" s="56"/>
      <c r="T117" s="87"/>
      <c r="U117" s="586"/>
      <c r="V117" s="645" t="s">
        <v>475</v>
      </c>
      <c r="W117" s="588"/>
      <c r="X117" s="588"/>
      <c r="Y117" s="585"/>
      <c r="Z117" s="595"/>
      <c r="AA117" s="596"/>
      <c r="AB117" s="596"/>
      <c r="AC117" s="588"/>
      <c r="AD117" s="588"/>
      <c r="AE117" s="588"/>
      <c r="AF117" s="588"/>
      <c r="AG117" s="588"/>
      <c r="AH117" s="588"/>
      <c r="AI117" s="588"/>
      <c r="AJ117" s="588"/>
      <c r="AK117" s="585"/>
      <c r="AL117" s="84"/>
    </row>
    <row r="118" spans="2:38" s="4" customFormat="1" ht="67.5" customHeight="1">
      <c r="B118" s="55"/>
      <c r="C118" s="63"/>
      <c r="D118" s="136"/>
      <c r="E118" s="154" t="s">
        <v>409</v>
      </c>
      <c r="F118" s="154" t="s">
        <v>410</v>
      </c>
      <c r="G118" s="3" t="s">
        <v>378</v>
      </c>
      <c r="H118" s="116" t="s">
        <v>411</v>
      </c>
      <c r="I118" s="117" t="s">
        <v>412</v>
      </c>
      <c r="J118" s="129"/>
      <c r="K118" s="688"/>
      <c r="L118" s="63"/>
      <c r="M118" s="56"/>
      <c r="N118" s="63"/>
      <c r="O118" s="63"/>
      <c r="P118" s="63"/>
      <c r="Q118" s="63"/>
      <c r="R118" s="63"/>
      <c r="S118" s="56"/>
      <c r="T118" s="87"/>
      <c r="U118" s="41" t="s">
        <v>455</v>
      </c>
      <c r="V118" s="35" t="s">
        <v>171</v>
      </c>
      <c r="W118" s="35" t="s">
        <v>172</v>
      </c>
      <c r="X118" s="35" t="s">
        <v>173</v>
      </c>
      <c r="Y118" s="232" t="s">
        <v>174</v>
      </c>
      <c r="Z118" s="230" t="s">
        <v>550</v>
      </c>
      <c r="AA118" s="49" t="s">
        <v>551</v>
      </c>
      <c r="AB118" s="49" t="s">
        <v>552</v>
      </c>
      <c r="AC118" s="35" t="s">
        <v>553</v>
      </c>
      <c r="AD118" s="35" t="s">
        <v>554</v>
      </c>
      <c r="AE118" s="47" t="s">
        <v>555</v>
      </c>
      <c r="AF118" s="47" t="s">
        <v>476</v>
      </c>
      <c r="AG118" s="47" t="s">
        <v>477</v>
      </c>
      <c r="AH118" s="47" t="s">
        <v>478</v>
      </c>
      <c r="AI118" s="47" t="s">
        <v>479</v>
      </c>
      <c r="AJ118" s="47" t="s">
        <v>480</v>
      </c>
      <c r="AK118" s="47" t="s">
        <v>481</v>
      </c>
      <c r="AL118" s="84"/>
    </row>
    <row r="119" spans="2:40" s="4" customFormat="1" ht="113.25" customHeight="1">
      <c r="B119" s="65"/>
      <c r="C119" s="123"/>
      <c r="D119" s="137"/>
      <c r="E119" s="155" t="s">
        <v>461</v>
      </c>
      <c r="F119" s="155" t="s">
        <v>354</v>
      </c>
      <c r="G119" s="850" t="s">
        <v>351</v>
      </c>
      <c r="H119" s="5" t="s">
        <v>583</v>
      </c>
      <c r="I119" s="8" t="s">
        <v>468</v>
      </c>
      <c r="J119" s="129"/>
      <c r="K119" s="574"/>
      <c r="L119" s="63"/>
      <c r="M119" s="56"/>
      <c r="N119" s="63"/>
      <c r="O119" s="63"/>
      <c r="P119" s="63"/>
      <c r="Q119" s="63"/>
      <c r="R119" s="63"/>
      <c r="S119" s="56"/>
      <c r="T119" s="87"/>
      <c r="U119" s="44"/>
      <c r="V119" s="173"/>
      <c r="W119" s="173"/>
      <c r="X119" s="173"/>
      <c r="Y119" s="233"/>
      <c r="Z119" s="146"/>
      <c r="AA119" s="158"/>
      <c r="AB119" s="45"/>
      <c r="AC119" s="46"/>
      <c r="AD119" s="46"/>
      <c r="AE119" s="46"/>
      <c r="AF119" s="46"/>
      <c r="AG119" s="46"/>
      <c r="AH119" s="46"/>
      <c r="AI119" s="46"/>
      <c r="AJ119" s="46"/>
      <c r="AK119" s="46"/>
      <c r="AL119" s="93"/>
      <c r="AM119" s="42" t="s">
        <v>210</v>
      </c>
      <c r="AN119" s="42" t="s">
        <v>5</v>
      </c>
    </row>
    <row r="120" spans="2:40" s="4" customFormat="1" ht="46.5" customHeight="1">
      <c r="B120" s="55"/>
      <c r="C120" s="63"/>
      <c r="D120" s="136"/>
      <c r="E120" s="177" t="s">
        <v>462</v>
      </c>
      <c r="F120" s="177" t="s">
        <v>353</v>
      </c>
      <c r="G120" s="8" t="s">
        <v>352</v>
      </c>
      <c r="H120" s="8" t="s">
        <v>584</v>
      </c>
      <c r="I120" s="8" t="s">
        <v>920</v>
      </c>
      <c r="J120" s="129"/>
      <c r="K120" s="574"/>
      <c r="L120" s="63"/>
      <c r="M120" s="56"/>
      <c r="N120" s="63"/>
      <c r="O120" s="63"/>
      <c r="P120" s="63"/>
      <c r="Q120" s="63"/>
      <c r="R120" s="63"/>
      <c r="S120" s="56"/>
      <c r="T120" s="87"/>
      <c r="U120" s="1014" t="s">
        <v>534</v>
      </c>
      <c r="V120" s="42">
        <v>69.3</v>
      </c>
      <c r="W120" s="42">
        <v>0.05</v>
      </c>
      <c r="X120" s="42">
        <v>0.002</v>
      </c>
      <c r="Y120" s="234">
        <f>V120+21*W120+310*X120</f>
        <v>70.97</v>
      </c>
      <c r="Z120" s="231">
        <v>69.25</v>
      </c>
      <c r="AA120" s="105">
        <v>73.06</v>
      </c>
      <c r="AB120" s="105">
        <v>249.28</v>
      </c>
      <c r="AC120" s="105">
        <v>67.2511848341232</v>
      </c>
      <c r="AD120" s="105">
        <v>70.95</v>
      </c>
      <c r="AE120" s="105">
        <v>242.15017064846418</v>
      </c>
      <c r="AF120" s="105" t="s">
        <v>379</v>
      </c>
      <c r="AG120" s="105" t="s">
        <v>384</v>
      </c>
      <c r="AH120" s="105">
        <v>2.3434610303830907</v>
      </c>
      <c r="AI120" s="105">
        <v>8.87</v>
      </c>
      <c r="AJ120" s="105"/>
      <c r="AK120" s="105"/>
      <c r="AL120" s="84">
        <v>12</v>
      </c>
      <c r="AM120" s="1014" t="s">
        <v>534</v>
      </c>
      <c r="AN120" s="851">
        <v>0.0465</v>
      </c>
    </row>
    <row r="121" spans="2:40" s="4" customFormat="1" ht="27" customHeight="1">
      <c r="B121" s="55"/>
      <c r="C121" s="947" t="s">
        <v>452</v>
      </c>
      <c r="D121" s="948" t="s">
        <v>463</v>
      </c>
      <c r="E121" s="67">
        <v>1000</v>
      </c>
      <c r="F121" s="82">
        <v>0.03</v>
      </c>
      <c r="G121" s="67">
        <f>E121*F121</f>
        <v>30</v>
      </c>
      <c r="H121" s="67">
        <v>56.16</v>
      </c>
      <c r="I121" s="128">
        <f>G121*H121/1000</f>
        <v>1.6847999999999999</v>
      </c>
      <c r="J121" s="129"/>
      <c r="K121" s="689"/>
      <c r="L121" s="63"/>
      <c r="M121" s="56"/>
      <c r="N121" s="63"/>
      <c r="O121" s="63"/>
      <c r="P121" s="63"/>
      <c r="Q121" s="63"/>
      <c r="R121" s="63"/>
      <c r="S121" s="56"/>
      <c r="T121" s="87"/>
      <c r="U121" s="42" t="s">
        <v>531</v>
      </c>
      <c r="V121" s="42">
        <v>69.3</v>
      </c>
      <c r="W121" s="42">
        <v>0.13</v>
      </c>
      <c r="X121" s="42">
        <v>0.0004</v>
      </c>
      <c r="Y121" s="234">
        <f>V121+21*W121+310*X121</f>
        <v>72.154</v>
      </c>
      <c r="Z121" s="231">
        <v>69.25</v>
      </c>
      <c r="AA121" s="105">
        <v>73.06</v>
      </c>
      <c r="AB121" s="105">
        <v>249.28</v>
      </c>
      <c r="AC121" s="105">
        <v>67.2511848341232</v>
      </c>
      <c r="AD121" s="105">
        <v>70.95</v>
      </c>
      <c r="AE121" s="105">
        <v>242.15017064846418</v>
      </c>
      <c r="AF121" s="105" t="s">
        <v>379</v>
      </c>
      <c r="AG121" s="105" t="s">
        <v>384</v>
      </c>
      <c r="AH121" s="105">
        <v>2.3434610303830907</v>
      </c>
      <c r="AI121" s="105">
        <v>8.87</v>
      </c>
      <c r="AJ121" s="105"/>
      <c r="AK121" s="105"/>
      <c r="AL121" s="84">
        <v>12</v>
      </c>
      <c r="AM121" s="42" t="s">
        <v>531</v>
      </c>
      <c r="AN121" s="851">
        <v>0.0465</v>
      </c>
    </row>
    <row r="122" spans="2:40" s="4" customFormat="1" ht="27.75" customHeight="1">
      <c r="B122" s="80"/>
      <c r="C122" s="43" t="s">
        <v>454</v>
      </c>
      <c r="D122" s="139" t="s">
        <v>455</v>
      </c>
      <c r="E122" s="12"/>
      <c r="F122" s="12"/>
      <c r="G122" s="11"/>
      <c r="H122" s="37"/>
      <c r="I122" s="126"/>
      <c r="J122" s="129"/>
      <c r="K122" s="690"/>
      <c r="L122" s="63"/>
      <c r="M122" s="56"/>
      <c r="N122" s="63"/>
      <c r="O122" s="63"/>
      <c r="P122" s="63"/>
      <c r="Q122" s="63"/>
      <c r="R122" s="63"/>
      <c r="S122" s="56"/>
      <c r="T122" s="87"/>
      <c r="U122" s="42" t="s">
        <v>533</v>
      </c>
      <c r="V122" s="42">
        <v>69.3</v>
      </c>
      <c r="W122" s="42">
        <v>0.17</v>
      </c>
      <c r="X122" s="42">
        <v>0.0004</v>
      </c>
      <c r="Y122" s="234">
        <f>V122+21*W122+310*X122</f>
        <v>72.994</v>
      </c>
      <c r="Z122" s="231">
        <v>69.25</v>
      </c>
      <c r="AA122" s="105">
        <v>73.06</v>
      </c>
      <c r="AB122" s="105">
        <v>249.28</v>
      </c>
      <c r="AC122" s="105">
        <v>67.2511848341232</v>
      </c>
      <c r="AD122" s="105">
        <v>70.95</v>
      </c>
      <c r="AE122" s="105">
        <v>242.15017064846418</v>
      </c>
      <c r="AF122" s="105" t="s">
        <v>379</v>
      </c>
      <c r="AG122" s="105" t="s">
        <v>384</v>
      </c>
      <c r="AH122" s="105">
        <v>2.3434610303830907</v>
      </c>
      <c r="AI122" s="105">
        <v>8.87</v>
      </c>
      <c r="AJ122" s="105"/>
      <c r="AK122" s="105"/>
      <c r="AL122" s="84">
        <v>12</v>
      </c>
      <c r="AM122" s="42" t="s">
        <v>533</v>
      </c>
      <c r="AN122" s="851">
        <v>0.0465</v>
      </c>
    </row>
    <row r="123" spans="2:40" s="4" customFormat="1" ht="18" customHeight="1">
      <c r="B123" s="55"/>
      <c r="C123" s="40"/>
      <c r="D123" s="140"/>
      <c r="E123" s="157"/>
      <c r="F123" s="128"/>
      <c r="G123" s="128">
        <f>E123*F123</f>
        <v>0</v>
      </c>
      <c r="H123" s="128"/>
      <c r="I123" s="128">
        <f>G123*H123/1000</f>
        <v>0</v>
      </c>
      <c r="J123" s="129"/>
      <c r="K123" s="238"/>
      <c r="L123" s="63"/>
      <c r="M123" s="56"/>
      <c r="N123" s="63"/>
      <c r="O123" s="63"/>
      <c r="P123" s="63"/>
      <c r="Q123" s="63"/>
      <c r="R123" s="63"/>
      <c r="S123" s="56"/>
      <c r="T123" s="87"/>
      <c r="U123" s="42" t="s">
        <v>536</v>
      </c>
      <c r="V123" s="42">
        <v>71.9</v>
      </c>
      <c r="W123" s="42"/>
      <c r="X123" s="42"/>
      <c r="Y123" s="234">
        <f>V123+21*W123+310*X123</f>
        <v>71.9</v>
      </c>
      <c r="Z123" s="231">
        <v>71.45</v>
      </c>
      <c r="AA123" s="105">
        <v>75.38</v>
      </c>
      <c r="AB123" s="105">
        <v>257.2</v>
      </c>
      <c r="AC123" s="105">
        <v>68.58767772511848</v>
      </c>
      <c r="AD123" s="105">
        <v>72.36</v>
      </c>
      <c r="AE123" s="105">
        <v>246.96245733788396</v>
      </c>
      <c r="AF123" s="105" t="s">
        <v>380</v>
      </c>
      <c r="AG123" s="105" t="s">
        <v>385</v>
      </c>
      <c r="AH123" s="105">
        <v>2.581241743725231</v>
      </c>
      <c r="AI123" s="105">
        <v>9.77</v>
      </c>
      <c r="AJ123" s="105"/>
      <c r="AK123" s="105"/>
      <c r="AL123" s="84">
        <v>12</v>
      </c>
      <c r="AM123" s="42" t="s">
        <v>536</v>
      </c>
      <c r="AN123" s="851">
        <v>0.0434</v>
      </c>
    </row>
    <row r="124" spans="2:40" s="4" customFormat="1" ht="18" customHeight="1">
      <c r="B124" s="55"/>
      <c r="C124" s="40"/>
      <c r="D124" s="140"/>
      <c r="E124" s="740"/>
      <c r="F124" s="128"/>
      <c r="G124" s="128">
        <f aca="true" t="shared" si="7" ref="G124:G136">E124*F124</f>
        <v>0</v>
      </c>
      <c r="H124" s="128"/>
      <c r="I124" s="128">
        <f aca="true" t="shared" si="8" ref="I124:I136">G124*H124/1000</f>
        <v>0</v>
      </c>
      <c r="J124" s="129"/>
      <c r="K124" s="238"/>
      <c r="L124" s="63"/>
      <c r="M124" s="56"/>
      <c r="N124" s="63"/>
      <c r="O124" s="63"/>
      <c r="P124" s="63"/>
      <c r="Q124" s="63"/>
      <c r="R124" s="63"/>
      <c r="S124" s="56"/>
      <c r="T124" s="87"/>
      <c r="U124" s="42" t="s">
        <v>727</v>
      </c>
      <c r="V124" s="162">
        <v>70.72</v>
      </c>
      <c r="W124" s="42"/>
      <c r="X124" s="42"/>
      <c r="Y124" s="235">
        <v>70.72</v>
      </c>
      <c r="Z124" s="231">
        <v>70.72</v>
      </c>
      <c r="AA124" s="105" t="s">
        <v>396</v>
      </c>
      <c r="AB124" s="105" t="s">
        <v>399</v>
      </c>
      <c r="AC124" s="105">
        <v>67.18483412322274</v>
      </c>
      <c r="AD124" s="105">
        <v>70.88</v>
      </c>
      <c r="AE124" s="105">
        <v>241.91126279863482</v>
      </c>
      <c r="AF124" s="105"/>
      <c r="AG124" s="105"/>
      <c r="AH124" s="105">
        <v>2.5284015852047554</v>
      </c>
      <c r="AI124" s="105">
        <v>9.57</v>
      </c>
      <c r="AJ124" s="105"/>
      <c r="AK124" s="105"/>
      <c r="AL124" s="84">
        <v>12</v>
      </c>
      <c r="AM124" s="42" t="s">
        <v>727</v>
      </c>
      <c r="AN124" s="851">
        <v>0.0554</v>
      </c>
    </row>
    <row r="125" spans="2:40" s="4" customFormat="1" ht="18" customHeight="1">
      <c r="B125" s="55"/>
      <c r="C125" s="40"/>
      <c r="D125" s="140"/>
      <c r="E125" s="740"/>
      <c r="F125" s="128"/>
      <c r="G125" s="128">
        <f t="shared" si="7"/>
        <v>0</v>
      </c>
      <c r="H125" s="128"/>
      <c r="I125" s="128">
        <f t="shared" si="8"/>
        <v>0</v>
      </c>
      <c r="J125" s="129"/>
      <c r="K125" s="238"/>
      <c r="L125" s="63"/>
      <c r="M125" s="56"/>
      <c r="N125" s="63"/>
      <c r="O125" s="63"/>
      <c r="P125" s="63"/>
      <c r="Q125" s="63"/>
      <c r="R125" s="63"/>
      <c r="S125" s="56"/>
      <c r="T125" s="87"/>
      <c r="U125" s="42" t="s">
        <v>728</v>
      </c>
      <c r="V125" s="162">
        <v>69.11</v>
      </c>
      <c r="W125" s="42"/>
      <c r="X125" s="42"/>
      <c r="Y125" s="235">
        <v>69.11</v>
      </c>
      <c r="Z125" s="231">
        <v>69.11</v>
      </c>
      <c r="AA125" s="105" t="s">
        <v>397</v>
      </c>
      <c r="AB125" s="105" t="s">
        <v>400</v>
      </c>
      <c r="AC125" s="105">
        <v>65.65876777251185</v>
      </c>
      <c r="AD125" s="105">
        <v>69.27</v>
      </c>
      <c r="AE125" s="105">
        <v>236.4163822525597</v>
      </c>
      <c r="AF125" s="105"/>
      <c r="AG125" s="105"/>
      <c r="AH125" s="105">
        <v>2.19815059445178</v>
      </c>
      <c r="AI125" s="105">
        <v>8.32</v>
      </c>
      <c r="AJ125" s="105"/>
      <c r="AK125" s="105"/>
      <c r="AL125" s="84">
        <v>12</v>
      </c>
      <c r="AM125" s="42" t="s">
        <v>728</v>
      </c>
      <c r="AN125" s="1055">
        <v>0.0421</v>
      </c>
    </row>
    <row r="126" spans="2:40" s="4" customFormat="1" ht="18" customHeight="1">
      <c r="B126" s="55"/>
      <c r="C126" s="40"/>
      <c r="D126" s="140"/>
      <c r="E126" s="157"/>
      <c r="F126" s="128"/>
      <c r="G126" s="128">
        <f t="shared" si="7"/>
        <v>0</v>
      </c>
      <c r="H126" s="128"/>
      <c r="I126" s="128">
        <f t="shared" si="8"/>
        <v>0</v>
      </c>
      <c r="J126" s="129"/>
      <c r="K126" s="238"/>
      <c r="L126" s="63"/>
      <c r="M126" s="56"/>
      <c r="N126" s="63"/>
      <c r="O126" s="63"/>
      <c r="P126" s="63"/>
      <c r="Q126" s="63"/>
      <c r="R126" s="63"/>
      <c r="S126" s="56"/>
      <c r="T126" s="87"/>
      <c r="U126" s="42" t="s">
        <v>521</v>
      </c>
      <c r="V126" s="42">
        <v>74.1</v>
      </c>
      <c r="W126" s="42">
        <v>0.004</v>
      </c>
      <c r="X126" s="42">
        <v>0.03</v>
      </c>
      <c r="Y126" s="234">
        <f>V126+21*W126+310*X126</f>
        <v>83.484</v>
      </c>
      <c r="Z126" s="231"/>
      <c r="AA126" s="105"/>
      <c r="AB126" s="105"/>
      <c r="AC126" s="105"/>
      <c r="AD126" s="105"/>
      <c r="AE126" s="105"/>
      <c r="AF126" s="105"/>
      <c r="AG126" s="105"/>
      <c r="AH126" s="105"/>
      <c r="AI126" s="105"/>
      <c r="AJ126" s="105"/>
      <c r="AK126" s="105"/>
      <c r="AL126" s="84">
        <v>12</v>
      </c>
      <c r="AM126" s="42" t="s">
        <v>521</v>
      </c>
      <c r="AN126" s="851">
        <v>0.0409</v>
      </c>
    </row>
    <row r="127" spans="2:40" s="4" customFormat="1" ht="18" customHeight="1">
      <c r="B127" s="55"/>
      <c r="C127" s="40"/>
      <c r="D127" s="140"/>
      <c r="E127" s="157"/>
      <c r="F127" s="128"/>
      <c r="G127" s="128">
        <f t="shared" si="7"/>
        <v>0</v>
      </c>
      <c r="H127" s="128"/>
      <c r="I127" s="128">
        <f t="shared" si="8"/>
        <v>0</v>
      </c>
      <c r="J127" s="129"/>
      <c r="K127" s="238"/>
      <c r="L127" s="63"/>
      <c r="M127" s="56"/>
      <c r="N127" s="63"/>
      <c r="O127" s="63"/>
      <c r="P127" s="63"/>
      <c r="Q127" s="63"/>
      <c r="R127" s="63"/>
      <c r="S127" s="56"/>
      <c r="T127" s="87"/>
      <c r="U127" s="42" t="s">
        <v>524</v>
      </c>
      <c r="V127" s="42">
        <v>63.1</v>
      </c>
      <c r="W127" s="42"/>
      <c r="X127" s="42"/>
      <c r="Y127" s="234">
        <f>V127+21*W127+310*X127</f>
        <v>63.1</v>
      </c>
      <c r="Z127" s="231">
        <v>63.2</v>
      </c>
      <c r="AA127" s="105">
        <v>66.68</v>
      </c>
      <c r="AB127" s="105">
        <v>227.5</v>
      </c>
      <c r="AC127" s="105">
        <v>59.78199052132702</v>
      </c>
      <c r="AD127" s="105">
        <v>63.07</v>
      </c>
      <c r="AE127" s="105">
        <v>215.25597269624575</v>
      </c>
      <c r="AF127" s="105"/>
      <c r="AG127" s="105"/>
      <c r="AH127" s="105">
        <v>1.535006605019815</v>
      </c>
      <c r="AI127" s="105">
        <v>5.81</v>
      </c>
      <c r="AJ127" s="105"/>
      <c r="AK127" s="105"/>
      <c r="AL127" s="84">
        <v>12</v>
      </c>
      <c r="AM127" s="42" t="s">
        <v>524</v>
      </c>
      <c r="AN127" s="851">
        <v>0.4253</v>
      </c>
    </row>
    <row r="128" spans="2:40" s="4" customFormat="1" ht="18" customHeight="1">
      <c r="B128" s="55"/>
      <c r="C128" s="40"/>
      <c r="D128" s="140"/>
      <c r="E128" s="157"/>
      <c r="F128" s="128"/>
      <c r="G128" s="128">
        <f t="shared" si="7"/>
        <v>0</v>
      </c>
      <c r="H128" s="128"/>
      <c r="I128" s="128">
        <f t="shared" si="8"/>
        <v>0</v>
      </c>
      <c r="J128" s="129"/>
      <c r="K128" s="238"/>
      <c r="L128" s="63"/>
      <c r="M128" s="56"/>
      <c r="N128" s="63"/>
      <c r="O128" s="63"/>
      <c r="P128" s="63"/>
      <c r="Q128" s="63"/>
      <c r="R128" s="63"/>
      <c r="S128" s="56"/>
      <c r="T128" s="87"/>
      <c r="U128" s="42" t="s">
        <v>736</v>
      </c>
      <c r="V128" s="162">
        <v>62.99</v>
      </c>
      <c r="W128" s="42"/>
      <c r="X128" s="42"/>
      <c r="Y128" s="235">
        <v>62.99</v>
      </c>
      <c r="Z128" s="231">
        <v>62.99</v>
      </c>
      <c r="AA128" s="105" t="s">
        <v>398</v>
      </c>
      <c r="AB128" s="105" t="s">
        <v>401</v>
      </c>
      <c r="AC128" s="105">
        <v>59.83886255924171</v>
      </c>
      <c r="AD128" s="105">
        <v>63.13</v>
      </c>
      <c r="AE128" s="105">
        <v>215.46075085324233</v>
      </c>
      <c r="AF128" s="105"/>
      <c r="AG128" s="105"/>
      <c r="AH128" s="105">
        <v>1.5191545574636722</v>
      </c>
      <c r="AI128" s="105">
        <v>5.75</v>
      </c>
      <c r="AJ128" s="105"/>
      <c r="AK128" s="105"/>
      <c r="AL128" s="84">
        <v>12</v>
      </c>
      <c r="AM128" s="42" t="s">
        <v>736</v>
      </c>
      <c r="AN128" s="851">
        <v>0.0502</v>
      </c>
    </row>
    <row r="129" spans="2:40" s="4" customFormat="1" ht="18" customHeight="1">
      <c r="B129" s="55"/>
      <c r="C129" s="40"/>
      <c r="D129" s="140"/>
      <c r="E129" s="157"/>
      <c r="F129" s="128"/>
      <c r="G129" s="128">
        <f t="shared" si="7"/>
        <v>0</v>
      </c>
      <c r="H129" s="128"/>
      <c r="I129" s="128">
        <f t="shared" si="8"/>
        <v>0</v>
      </c>
      <c r="J129" s="129"/>
      <c r="K129" s="238"/>
      <c r="L129" s="63"/>
      <c r="M129" s="56"/>
      <c r="N129" s="63"/>
      <c r="O129" s="63"/>
      <c r="P129" s="63"/>
      <c r="Q129" s="63"/>
      <c r="R129" s="63"/>
      <c r="S129" s="56"/>
      <c r="T129" s="87"/>
      <c r="U129" s="42" t="s">
        <v>759</v>
      </c>
      <c r="V129" s="162">
        <v>92.7</v>
      </c>
      <c r="W129" s="42"/>
      <c r="X129" s="42"/>
      <c r="Y129" s="235"/>
      <c r="Z129" s="231"/>
      <c r="AA129" s="105"/>
      <c r="AB129" s="105"/>
      <c r="AC129" s="105"/>
      <c r="AD129" s="105"/>
      <c r="AE129" s="105"/>
      <c r="AF129" s="105"/>
      <c r="AG129" s="105"/>
      <c r="AH129" s="105"/>
      <c r="AI129" s="105"/>
      <c r="AJ129" s="105"/>
      <c r="AK129" s="105"/>
      <c r="AL129" s="84">
        <v>12</v>
      </c>
      <c r="AM129" s="42" t="s">
        <v>759</v>
      </c>
      <c r="AN129" s="851">
        <v>0.0194</v>
      </c>
    </row>
    <row r="130" spans="2:40" s="4" customFormat="1" ht="18" customHeight="1">
      <c r="B130" s="55"/>
      <c r="C130" s="40"/>
      <c r="D130" s="140"/>
      <c r="E130" s="157"/>
      <c r="F130" s="128"/>
      <c r="G130" s="128">
        <f t="shared" si="7"/>
        <v>0</v>
      </c>
      <c r="H130" s="128"/>
      <c r="I130" s="128">
        <f t="shared" si="8"/>
        <v>0</v>
      </c>
      <c r="J130" s="129"/>
      <c r="K130" s="238"/>
      <c r="L130" s="63"/>
      <c r="M130" s="56"/>
      <c r="N130" s="63"/>
      <c r="O130" s="63"/>
      <c r="P130" s="63"/>
      <c r="Q130" s="63"/>
      <c r="R130" s="63"/>
      <c r="S130" s="56"/>
      <c r="T130" s="87"/>
      <c r="U130" s="42" t="s">
        <v>758</v>
      </c>
      <c r="V130" s="42">
        <v>56.1</v>
      </c>
      <c r="W130" s="42">
        <v>0.005</v>
      </c>
      <c r="X130" s="42">
        <v>0.0001</v>
      </c>
      <c r="Y130" s="234">
        <f>V130+21*W130+310*X130</f>
        <v>56.236</v>
      </c>
      <c r="Z130" s="231">
        <v>56.06</v>
      </c>
      <c r="AA130" s="105">
        <v>59.14</v>
      </c>
      <c r="AB130" s="105">
        <v>201.8</v>
      </c>
      <c r="AC130" s="105">
        <v>50.341232227488156</v>
      </c>
      <c r="AD130" s="105">
        <v>53.11</v>
      </c>
      <c r="AE130" s="105">
        <v>181.2627986348123</v>
      </c>
      <c r="AF130" s="105"/>
      <c r="AG130" s="105"/>
      <c r="AH130" s="105"/>
      <c r="AI130" s="105"/>
      <c r="AJ130" s="105">
        <v>1.93</v>
      </c>
      <c r="AK130" s="105">
        <v>54.7</v>
      </c>
      <c r="AL130" s="84"/>
      <c r="AM130" s="42" t="s">
        <v>758</v>
      </c>
      <c r="AN130" s="851">
        <v>0.0429</v>
      </c>
    </row>
    <row r="131" spans="2:38" s="4" customFormat="1" ht="18" customHeight="1">
      <c r="B131" s="55"/>
      <c r="C131" s="40"/>
      <c r="D131" s="140"/>
      <c r="E131" s="157"/>
      <c r="F131" s="128"/>
      <c r="G131" s="128">
        <f t="shared" si="7"/>
        <v>0</v>
      </c>
      <c r="H131" s="128"/>
      <c r="I131" s="128">
        <f t="shared" si="8"/>
        <v>0</v>
      </c>
      <c r="J131" s="129"/>
      <c r="K131" s="238"/>
      <c r="L131" s="63"/>
      <c r="M131" s="56"/>
      <c r="N131" s="63"/>
      <c r="O131" s="63"/>
      <c r="P131" s="63"/>
      <c r="Q131" s="63"/>
      <c r="R131" s="63"/>
      <c r="S131" s="56"/>
      <c r="T131" s="87"/>
      <c r="U131" s="119" t="s">
        <v>760</v>
      </c>
      <c r="V131" s="93"/>
      <c r="W131" s="147"/>
      <c r="X131" s="109"/>
      <c r="Y131" s="109"/>
      <c r="Z131" s="109"/>
      <c r="AA131" s="109"/>
      <c r="AB131" s="109"/>
      <c r="AC131" s="109"/>
      <c r="AD131" s="109"/>
      <c r="AE131" s="109"/>
      <c r="AF131" s="109"/>
      <c r="AG131" s="109"/>
      <c r="AH131" s="109"/>
      <c r="AI131" s="361"/>
      <c r="AJ131" s="206"/>
      <c r="AK131" s="206"/>
      <c r="AL131" s="56"/>
    </row>
    <row r="132" spans="2:38" s="4" customFormat="1" ht="18" customHeight="1">
      <c r="B132" s="55"/>
      <c r="C132" s="40"/>
      <c r="D132" s="140"/>
      <c r="E132" s="157"/>
      <c r="F132" s="128"/>
      <c r="G132" s="128">
        <f t="shared" si="7"/>
        <v>0</v>
      </c>
      <c r="H132" s="128"/>
      <c r="I132" s="128">
        <f t="shared" si="8"/>
        <v>0</v>
      </c>
      <c r="J132" s="129"/>
      <c r="K132" s="238"/>
      <c r="L132" s="63"/>
      <c r="M132" s="56"/>
      <c r="N132" s="63"/>
      <c r="O132" s="63"/>
      <c r="P132" s="63"/>
      <c r="Q132" s="63"/>
      <c r="R132" s="63"/>
      <c r="S132" s="56"/>
      <c r="T132" s="87"/>
      <c r="U132" s="206"/>
      <c r="V132" s="93" t="s">
        <v>761</v>
      </c>
      <c r="W132" s="1118" t="s">
        <v>541</v>
      </c>
      <c r="X132" s="1191"/>
      <c r="Y132" s="1191"/>
      <c r="Z132" s="1191"/>
      <c r="AA132" s="1191"/>
      <c r="AB132" s="1117" t="s">
        <v>203</v>
      </c>
      <c r="AC132" s="1185"/>
      <c r="AD132" s="1185"/>
      <c r="AE132" s="1185"/>
      <c r="AF132" s="109"/>
      <c r="AG132" s="109"/>
      <c r="AH132" s="109"/>
      <c r="AI132" s="109"/>
      <c r="AJ132" s="206"/>
      <c r="AK132" s="206"/>
      <c r="AL132" s="56"/>
    </row>
    <row r="133" spans="2:38" s="4" customFormat="1" ht="18" customHeight="1">
      <c r="B133" s="55"/>
      <c r="C133" s="40"/>
      <c r="D133" s="140" t="s">
        <v>211</v>
      </c>
      <c r="E133" s="157"/>
      <c r="F133" s="128"/>
      <c r="G133" s="128">
        <f t="shared" si="7"/>
        <v>0</v>
      </c>
      <c r="H133" s="128"/>
      <c r="I133" s="128">
        <f t="shared" si="8"/>
        <v>0</v>
      </c>
      <c r="J133" s="129"/>
      <c r="K133" s="238"/>
      <c r="L133" s="63"/>
      <c r="M133" s="56"/>
      <c r="N133" s="63"/>
      <c r="O133" s="63"/>
      <c r="P133" s="63"/>
      <c r="Q133" s="63"/>
      <c r="R133" s="63"/>
      <c r="S133" s="56"/>
      <c r="T133" s="87"/>
      <c r="U133" s="93"/>
      <c r="V133" s="93"/>
      <c r="W133" s="640"/>
      <c r="X133" s="640"/>
      <c r="Y133" s="640"/>
      <c r="Z133" s="206"/>
      <c r="AA133" s="206"/>
      <c r="AB133" s="641"/>
      <c r="AC133" s="167"/>
      <c r="AD133" s="109"/>
      <c r="AE133" s="109"/>
      <c r="AF133" s="109"/>
      <c r="AG133" s="109"/>
      <c r="AH133" s="109"/>
      <c r="AI133" s="109"/>
      <c r="AJ133" s="206"/>
      <c r="AK133" s="206"/>
      <c r="AL133" s="56"/>
    </row>
    <row r="134" spans="2:38" s="4" customFormat="1" ht="24.75" customHeight="1">
      <c r="B134" s="55"/>
      <c r="C134" s="40"/>
      <c r="D134" s="140" t="s">
        <v>211</v>
      </c>
      <c r="E134" s="157"/>
      <c r="F134" s="128"/>
      <c r="G134" s="128">
        <f t="shared" si="7"/>
        <v>0</v>
      </c>
      <c r="H134" s="128"/>
      <c r="I134" s="128">
        <f t="shared" si="8"/>
        <v>0</v>
      </c>
      <c r="J134" s="129"/>
      <c r="K134" s="238"/>
      <c r="L134" s="63"/>
      <c r="M134" s="56"/>
      <c r="N134" s="63"/>
      <c r="O134" s="63"/>
      <c r="P134" s="63"/>
      <c r="Q134" s="63"/>
      <c r="R134" s="63"/>
      <c r="S134" s="56"/>
      <c r="T134" s="87"/>
      <c r="U134" s="93"/>
      <c r="V134" s="93"/>
      <c r="W134" s="1118" t="s">
        <v>542</v>
      </c>
      <c r="X134" s="1118"/>
      <c r="Y134" s="1194"/>
      <c r="Z134" s="1191"/>
      <c r="AA134" s="206"/>
      <c r="AB134" s="167" t="s">
        <v>204</v>
      </c>
      <c r="AC134" s="167"/>
      <c r="AD134" s="109"/>
      <c r="AE134" s="109"/>
      <c r="AF134" s="109"/>
      <c r="AG134" s="109"/>
      <c r="AH134" s="109"/>
      <c r="AI134" s="109"/>
      <c r="AJ134" s="206"/>
      <c r="AK134" s="206"/>
      <c r="AL134" s="56"/>
    </row>
    <row r="135" spans="2:38" s="4" customFormat="1" ht="18" customHeight="1">
      <c r="B135" s="55"/>
      <c r="C135" s="40"/>
      <c r="D135" s="140" t="s">
        <v>211</v>
      </c>
      <c r="E135" s="157"/>
      <c r="F135" s="128"/>
      <c r="G135" s="128">
        <f t="shared" si="7"/>
        <v>0</v>
      </c>
      <c r="H135" s="128"/>
      <c r="I135" s="128">
        <f t="shared" si="8"/>
        <v>0</v>
      </c>
      <c r="J135" s="129"/>
      <c r="K135" s="238"/>
      <c r="L135" s="63"/>
      <c r="M135" s="56"/>
      <c r="N135" s="63"/>
      <c r="O135" s="63"/>
      <c r="P135" s="63"/>
      <c r="Q135" s="63"/>
      <c r="R135" s="63"/>
      <c r="S135" s="56"/>
      <c r="T135" s="87"/>
      <c r="U135" s="93"/>
      <c r="V135" s="93"/>
      <c r="W135" s="640"/>
      <c r="X135" s="640"/>
      <c r="Y135" s="640"/>
      <c r="Z135" s="206"/>
      <c r="AA135" s="206"/>
      <c r="AB135" s="1186" t="s">
        <v>205</v>
      </c>
      <c r="AC135" s="1185"/>
      <c r="AD135" s="1185"/>
      <c r="AE135" s="109"/>
      <c r="AF135" s="109"/>
      <c r="AG135" s="109"/>
      <c r="AH135" s="109"/>
      <c r="AI135" s="109"/>
      <c r="AJ135" s="206"/>
      <c r="AK135" s="206"/>
      <c r="AL135" s="56"/>
    </row>
    <row r="136" spans="2:38" s="4" customFormat="1" ht="23.25" customHeight="1">
      <c r="B136" s="55"/>
      <c r="C136" s="40"/>
      <c r="D136" s="140" t="s">
        <v>211</v>
      </c>
      <c r="E136" s="157"/>
      <c r="F136" s="128"/>
      <c r="G136" s="128">
        <f t="shared" si="7"/>
        <v>0</v>
      </c>
      <c r="H136" s="128"/>
      <c r="I136" s="128">
        <f t="shared" si="8"/>
        <v>0</v>
      </c>
      <c r="J136" s="129"/>
      <c r="K136" s="238"/>
      <c r="L136" s="63"/>
      <c r="M136" s="56"/>
      <c r="N136" s="63"/>
      <c r="O136" s="63"/>
      <c r="P136" s="63"/>
      <c r="Q136" s="63"/>
      <c r="R136" s="63"/>
      <c r="S136" s="56"/>
      <c r="T136" s="87"/>
      <c r="U136" s="93"/>
      <c r="V136" s="93"/>
      <c r="W136" s="1118" t="s">
        <v>543</v>
      </c>
      <c r="X136" s="1118"/>
      <c r="Y136" s="1118"/>
      <c r="Z136" s="206"/>
      <c r="AA136" s="206"/>
      <c r="AB136" s="1117" t="s">
        <v>206</v>
      </c>
      <c r="AC136" s="1185"/>
      <c r="AD136" s="1185"/>
      <c r="AE136" s="1185"/>
      <c r="AF136" s="109"/>
      <c r="AG136" s="109"/>
      <c r="AH136" s="109"/>
      <c r="AI136" s="109"/>
      <c r="AJ136" s="206"/>
      <c r="AK136" s="206"/>
      <c r="AL136" s="56"/>
    </row>
    <row r="137" spans="2:38" s="4" customFormat="1" ht="18" customHeight="1">
      <c r="B137" s="76"/>
      <c r="C137" s="77"/>
      <c r="D137" s="142"/>
      <c r="E137" s="142"/>
      <c r="F137" s="142"/>
      <c r="G137" s="77"/>
      <c r="H137" s="77"/>
      <c r="I137" s="129"/>
      <c r="J137" s="129"/>
      <c r="K137" s="129"/>
      <c r="L137" s="63"/>
      <c r="M137" s="56"/>
      <c r="N137" s="63"/>
      <c r="O137" s="63"/>
      <c r="P137" s="63"/>
      <c r="Q137" s="63"/>
      <c r="R137" s="63"/>
      <c r="S137" s="56"/>
      <c r="T137" s="87"/>
      <c r="U137" s="93"/>
      <c r="V137" s="93"/>
      <c r="W137" s="640"/>
      <c r="X137" s="640"/>
      <c r="Y137" s="640"/>
      <c r="Z137" s="641"/>
      <c r="AA137" s="641"/>
      <c r="AB137" s="1185"/>
      <c r="AC137" s="1185"/>
      <c r="AD137" s="1185"/>
      <c r="AE137" s="1185"/>
      <c r="AF137" s="109"/>
      <c r="AG137" s="109"/>
      <c r="AH137" s="109"/>
      <c r="AI137" s="109"/>
      <c r="AJ137" s="206"/>
      <c r="AK137" s="206"/>
      <c r="AL137" s="56"/>
    </row>
    <row r="138" spans="2:38" s="4" customFormat="1" ht="18" customHeight="1">
      <c r="B138" s="76"/>
      <c r="C138" s="843" t="s">
        <v>714</v>
      </c>
      <c r="D138" s="844"/>
      <c r="E138" s="844"/>
      <c r="F138" s="844"/>
      <c r="G138" s="844"/>
      <c r="H138" s="844"/>
      <c r="I138" s="130">
        <f>SUM(I123:I136)</f>
        <v>0</v>
      </c>
      <c r="J138" s="129"/>
      <c r="K138" s="129"/>
      <c r="L138" s="63"/>
      <c r="M138" s="56"/>
      <c r="N138" s="63"/>
      <c r="O138" s="63"/>
      <c r="P138" s="63"/>
      <c r="Q138" s="63"/>
      <c r="R138" s="63"/>
      <c r="S138" s="56"/>
      <c r="T138" s="87"/>
      <c r="U138" s="93"/>
      <c r="V138" s="93"/>
      <c r="W138" s="119" t="s">
        <v>544</v>
      </c>
      <c r="X138" s="119"/>
      <c r="Y138" s="119"/>
      <c r="Z138" s="167"/>
      <c r="AA138" s="167"/>
      <c r="AB138" s="167"/>
      <c r="AC138" s="167"/>
      <c r="AD138" s="109"/>
      <c r="AE138" s="109"/>
      <c r="AF138" s="109"/>
      <c r="AG138" s="109"/>
      <c r="AH138" s="109"/>
      <c r="AI138" s="109"/>
      <c r="AJ138" s="206"/>
      <c r="AK138" s="206"/>
      <c r="AL138" s="56"/>
    </row>
    <row r="139" spans="2:38" s="4" customFormat="1" ht="18" customHeight="1">
      <c r="B139" s="55"/>
      <c r="C139" s="63"/>
      <c r="D139" s="181"/>
      <c r="E139" s="181"/>
      <c r="F139" s="181"/>
      <c r="G139" s="63"/>
      <c r="H139" s="63"/>
      <c r="I139" s="63"/>
      <c r="J139" s="63"/>
      <c r="K139" s="597"/>
      <c r="L139" s="63"/>
      <c r="M139" s="56"/>
      <c r="N139" s="63"/>
      <c r="O139" s="63"/>
      <c r="P139" s="63"/>
      <c r="Q139" s="63"/>
      <c r="R139" s="63"/>
      <c r="S139" s="56"/>
      <c r="T139" s="87"/>
      <c r="U139" s="93"/>
      <c r="V139" s="93"/>
      <c r="W139" s="119" t="s">
        <v>201</v>
      </c>
      <c r="X139" s="119"/>
      <c r="Y139" s="119"/>
      <c r="Z139" s="119"/>
      <c r="AA139" s="119"/>
      <c r="AB139" s="167"/>
      <c r="AC139" s="167"/>
      <c r="AD139" s="109"/>
      <c r="AE139" s="109"/>
      <c r="AF139" s="109"/>
      <c r="AG139" s="109"/>
      <c r="AH139" s="109"/>
      <c r="AI139" s="109"/>
      <c r="AJ139" s="206"/>
      <c r="AK139" s="206"/>
      <c r="AL139" s="56"/>
    </row>
    <row r="140" spans="2:38" s="4" customFormat="1" ht="23.25" customHeight="1">
      <c r="B140" s="55"/>
      <c r="C140" s="63"/>
      <c r="D140" s="181"/>
      <c r="E140" s="181"/>
      <c r="F140" s="181"/>
      <c r="G140" s="63"/>
      <c r="H140" s="63"/>
      <c r="I140" s="63"/>
      <c r="J140" s="63"/>
      <c r="K140" s="597"/>
      <c r="L140" s="63"/>
      <c r="M140" s="56"/>
      <c r="N140" s="63"/>
      <c r="O140" s="63"/>
      <c r="P140" s="63"/>
      <c r="Q140" s="63"/>
      <c r="R140" s="63"/>
      <c r="S140" s="56"/>
      <c r="T140" s="87"/>
      <c r="U140" s="119"/>
      <c r="V140" s="119"/>
      <c r="W140" s="119" t="s">
        <v>202</v>
      </c>
      <c r="X140" s="119"/>
      <c r="Y140" s="119"/>
      <c r="Z140" s="119"/>
      <c r="AA140" s="109"/>
      <c r="AB140" s="109"/>
      <c r="AC140" s="109"/>
      <c r="AD140" s="109"/>
      <c r="AE140" s="109"/>
      <c r="AF140" s="109"/>
      <c r="AG140" s="109"/>
      <c r="AH140" s="109"/>
      <c r="AI140" s="109"/>
      <c r="AJ140" s="206"/>
      <c r="AK140" s="206"/>
      <c r="AL140" s="56"/>
    </row>
    <row r="141" spans="2:38" s="4" customFormat="1" ht="18" customHeight="1" thickBot="1">
      <c r="B141" s="78"/>
      <c r="C141" s="79"/>
      <c r="D141" s="143"/>
      <c r="E141" s="143"/>
      <c r="F141" s="143"/>
      <c r="G141" s="79"/>
      <c r="H141" s="79"/>
      <c r="I141" s="79"/>
      <c r="J141" s="79"/>
      <c r="K141" s="608"/>
      <c r="L141" s="79"/>
      <c r="M141" s="75"/>
      <c r="N141" s="79"/>
      <c r="O141" s="79"/>
      <c r="P141" s="79"/>
      <c r="Q141" s="79"/>
      <c r="R141" s="79"/>
      <c r="S141" s="75"/>
      <c r="T141" s="90"/>
      <c r="U141" s="91"/>
      <c r="V141" s="91"/>
      <c r="W141" s="148"/>
      <c r="X141" s="148"/>
      <c r="Y141" s="148"/>
      <c r="Z141" s="91"/>
      <c r="AA141" s="91"/>
      <c r="AB141" s="91"/>
      <c r="AC141" s="91"/>
      <c r="AD141" s="91"/>
      <c r="AE141" s="91"/>
      <c r="AF141" s="91"/>
      <c r="AG141" s="91"/>
      <c r="AH141" s="91"/>
      <c r="AI141" s="91"/>
      <c r="AJ141" s="79"/>
      <c r="AK141" s="79"/>
      <c r="AL141" s="75"/>
    </row>
    <row r="142" spans="16:18" s="4" customFormat="1" ht="18" customHeight="1" thickTop="1">
      <c r="P142" s="133"/>
      <c r="Q142" s="133"/>
      <c r="R142" s="133"/>
    </row>
    <row r="143" spans="11:38" ht="15" customHeight="1" thickBot="1">
      <c r="K143" s="429"/>
      <c r="L143" s="431"/>
      <c r="AL143" s="284">
        <v>6</v>
      </c>
    </row>
    <row r="144" spans="2:38" ht="15" customHeight="1" thickTop="1">
      <c r="B144" s="568"/>
      <c r="C144" s="569"/>
      <c r="D144" s="570"/>
      <c r="E144" s="569"/>
      <c r="F144" s="569"/>
      <c r="G144" s="569"/>
      <c r="H144" s="569"/>
      <c r="I144" s="570"/>
      <c r="J144" s="569"/>
      <c r="K144" s="569"/>
      <c r="L144" s="571"/>
      <c r="AL144" s="284">
        <v>7</v>
      </c>
    </row>
    <row r="145" spans="2:38" ht="18">
      <c r="B145" s="1192" t="s">
        <v>715</v>
      </c>
      <c r="C145" s="1193"/>
      <c r="D145" s="1193"/>
      <c r="E145" s="1193"/>
      <c r="F145" s="1193"/>
      <c r="G145" s="1193"/>
      <c r="H145" s="1193"/>
      <c r="I145" s="1198">
        <f>SUM(M40,K107,I138)</f>
        <v>0</v>
      </c>
      <c r="J145" s="1188"/>
      <c r="K145" s="1195" t="s">
        <v>716</v>
      </c>
      <c r="L145" s="1196"/>
      <c r="AL145" s="284">
        <v>7</v>
      </c>
    </row>
    <row r="146" spans="2:38" ht="18">
      <c r="B146" s="1192"/>
      <c r="C146" s="1193"/>
      <c r="D146" s="1193"/>
      <c r="E146" s="1193"/>
      <c r="F146" s="1193"/>
      <c r="G146" s="1193"/>
      <c r="H146" s="1193"/>
      <c r="I146" s="680"/>
      <c r="J146" s="273"/>
      <c r="K146" s="1197"/>
      <c r="L146" s="1196"/>
      <c r="AL146" s="284">
        <v>7</v>
      </c>
    </row>
    <row r="147" spans="2:38" ht="15" customHeight="1" thickBot="1">
      <c r="B147" s="451"/>
      <c r="C147" s="454"/>
      <c r="D147" s="453"/>
      <c r="E147" s="454"/>
      <c r="F147" s="454"/>
      <c r="G147" s="454"/>
      <c r="H147" s="454"/>
      <c r="I147" s="453"/>
      <c r="J147" s="454"/>
      <c r="K147" s="454"/>
      <c r="L147" s="572"/>
      <c r="AL147" s="284">
        <v>9</v>
      </c>
    </row>
    <row r="148" ht="15" customHeight="1" thickTop="1">
      <c r="AL148" s="284">
        <v>12</v>
      </c>
    </row>
    <row r="149" ht="15" customHeight="1">
      <c r="AL149" s="284">
        <v>12</v>
      </c>
    </row>
    <row r="150" ht="15" customHeight="1">
      <c r="AL150" s="284">
        <v>12</v>
      </c>
    </row>
    <row r="151" ht="15" customHeight="1">
      <c r="AL151" s="284">
        <v>12</v>
      </c>
    </row>
    <row r="152" ht="15" customHeight="1">
      <c r="AL152" s="284">
        <v>12</v>
      </c>
    </row>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sheetData>
  <mergeCells count="34">
    <mergeCell ref="B1:U1"/>
    <mergeCell ref="H40:L40"/>
    <mergeCell ref="E60:F62"/>
    <mergeCell ref="G60:G62"/>
    <mergeCell ref="B11:C11"/>
    <mergeCell ref="O57:P57"/>
    <mergeCell ref="O60:P60"/>
    <mergeCell ref="C3:K3"/>
    <mergeCell ref="H60:H62"/>
    <mergeCell ref="B12:C12"/>
    <mergeCell ref="B145:H146"/>
    <mergeCell ref="AB136:AE137"/>
    <mergeCell ref="W134:Z134"/>
    <mergeCell ref="W136:Y136"/>
    <mergeCell ref="K145:L146"/>
    <mergeCell ref="I145:J145"/>
    <mergeCell ref="AB132:AE132"/>
    <mergeCell ref="AB135:AD135"/>
    <mergeCell ref="V99:W99"/>
    <mergeCell ref="O62:P62"/>
    <mergeCell ref="W132:AA132"/>
    <mergeCell ref="C6:L6"/>
    <mergeCell ref="N63:N68"/>
    <mergeCell ref="B9:C9"/>
    <mergeCell ref="B10:C10"/>
    <mergeCell ref="D21:D22"/>
    <mergeCell ref="D23:D24"/>
    <mergeCell ref="D59:D60"/>
    <mergeCell ref="D61:D62"/>
    <mergeCell ref="E117:F117"/>
    <mergeCell ref="G117:H117"/>
    <mergeCell ref="E58:F58"/>
    <mergeCell ref="E22:E24"/>
    <mergeCell ref="G23:G24"/>
  </mergeCells>
  <printOptions horizontalCentered="1" verticalCentered="1"/>
  <pageMargins left="0.75" right="0.75" top="0.75" bottom="1" header="0.5" footer="0.5"/>
  <pageSetup fitToHeight="3" fitToWidth="1" horizontalDpi="600" verticalDpi="600" orientation="landscape" scale="54" r:id="rId3"/>
  <legacyDrawing r:id="rId2"/>
</worksheet>
</file>

<file path=xl/worksheets/sheet9.xml><?xml version="1.0" encoding="utf-8"?>
<worksheet xmlns="http://schemas.openxmlformats.org/spreadsheetml/2006/main" xmlns:r="http://schemas.openxmlformats.org/officeDocument/2006/relationships">
  <sheetPr codeName="Hoja9">
    <pageSetUpPr fitToPage="1"/>
  </sheetPr>
  <dimension ref="A1:T247"/>
  <sheetViews>
    <sheetView zoomScale="80" zoomScaleNormal="80" workbookViewId="0" topLeftCell="A19">
      <selection activeCell="A3" sqref="A3"/>
    </sheetView>
  </sheetViews>
  <sheetFormatPr defaultColWidth="11.421875" defaultRowHeight="12.75"/>
  <cols>
    <col min="1" max="1" width="9.140625" style="4" customWidth="1"/>
    <col min="2" max="2" width="3.8515625" style="4" customWidth="1"/>
    <col min="3" max="3" width="37.57421875" style="4" customWidth="1"/>
    <col min="4" max="4" width="34.421875" style="4" customWidth="1"/>
    <col min="5" max="5" width="17.8515625" style="133" customWidth="1"/>
    <col min="6" max="6" width="24.00390625" style="133" customWidth="1"/>
    <col min="7" max="7" width="19.421875" style="133" customWidth="1"/>
    <col min="8" max="8" width="16.421875" style="4" customWidth="1"/>
    <col min="9" max="9" width="15.57421875" style="4" customWidth="1"/>
    <col min="10" max="10" width="18.7109375" style="4" customWidth="1"/>
    <col min="11" max="11" width="17.140625" style="4" customWidth="1"/>
    <col min="12" max="12" width="20.57421875" style="4" customWidth="1"/>
    <col min="13" max="13" width="14.421875" style="4" customWidth="1"/>
    <col min="14" max="15" width="16.421875" style="4" customWidth="1"/>
    <col min="16" max="16" width="15.00390625" style="4" customWidth="1"/>
    <col min="17" max="17" width="16.00390625" style="4" customWidth="1"/>
    <col min="18" max="18" width="19.140625" style="4" customWidth="1"/>
    <col min="19" max="19" width="17.57421875" style="4" customWidth="1"/>
    <col min="20" max="20" width="15.8515625" style="4" customWidth="1"/>
    <col min="21" max="21" width="16.8515625" style="4" customWidth="1"/>
    <col min="22" max="22" width="16.28125" style="4" customWidth="1"/>
    <col min="23" max="57" width="14.28125" style="4" customWidth="1"/>
    <col min="58" max="16384" width="9.7109375" style="4" customWidth="1"/>
  </cols>
  <sheetData>
    <row r="1" spans="1:20" ht="18" customHeight="1">
      <c r="A1" s="1110" t="s">
        <v>46</v>
      </c>
      <c r="B1" s="1110"/>
      <c r="C1" s="1110"/>
      <c r="D1" s="1110"/>
      <c r="E1" s="1110"/>
      <c r="F1" s="1110"/>
      <c r="G1" s="1110"/>
      <c r="H1" s="1110"/>
      <c r="I1" s="1110"/>
      <c r="J1" s="1110"/>
      <c r="K1" s="1110"/>
      <c r="L1" s="1110"/>
      <c r="M1" s="1110"/>
      <c r="N1" s="1110"/>
      <c r="O1" s="1110"/>
      <c r="P1" s="1110"/>
      <c r="Q1" s="1110"/>
      <c r="R1" s="1110"/>
      <c r="S1" s="1110"/>
      <c r="T1" s="1110"/>
    </row>
    <row r="2" ht="24" customHeight="1">
      <c r="D2" s="39"/>
    </row>
    <row r="3" ht="18" customHeight="1">
      <c r="A3" s="39"/>
    </row>
    <row r="4" spans="3:11" ht="26.25">
      <c r="C4" s="1136" t="s">
        <v>562</v>
      </c>
      <c r="D4" s="1136"/>
      <c r="E4" s="1136"/>
      <c r="F4" s="1136"/>
      <c r="G4" s="1136"/>
      <c r="H4" s="1136"/>
      <c r="I4" s="1136"/>
      <c r="J4" s="1136"/>
      <c r="K4" s="1136"/>
    </row>
    <row r="5" ht="18" customHeight="1"/>
    <row r="6" ht="18">
      <c r="C6" s="39"/>
    </row>
    <row r="7" ht="18" customHeight="1" thickBot="1">
      <c r="A7" s="39"/>
    </row>
    <row r="8" spans="1:5" ht="18" customHeight="1" thickTop="1">
      <c r="A8" s="39"/>
      <c r="B8" s="618" t="s">
        <v>207</v>
      </c>
      <c r="C8" s="611"/>
      <c r="D8" s="613"/>
      <c r="E8" s="615"/>
    </row>
    <row r="9" spans="1:5" ht="18" customHeight="1">
      <c r="A9" s="39"/>
      <c r="B9" s="1222" t="s">
        <v>447</v>
      </c>
      <c r="C9" s="1223"/>
      <c r="D9" s="150"/>
      <c r="E9" s="616"/>
    </row>
    <row r="10" spans="1:5" ht="18" customHeight="1">
      <c r="A10" s="39"/>
      <c r="B10" s="1222" t="s">
        <v>448</v>
      </c>
      <c r="C10" s="1223"/>
      <c r="D10" s="151"/>
      <c r="E10" s="616"/>
    </row>
    <row r="11" spans="1:5" ht="18" customHeight="1">
      <c r="A11" s="39"/>
      <c r="B11" s="1133" t="s">
        <v>166</v>
      </c>
      <c r="C11" s="1161"/>
      <c r="D11" s="153"/>
      <c r="E11" s="616"/>
    </row>
    <row r="12" spans="2:19" ht="18" customHeight="1" thickBot="1">
      <c r="B12" s="619"/>
      <c r="C12" s="555"/>
      <c r="D12" s="555"/>
      <c r="E12" s="621"/>
      <c r="F12" s="149"/>
      <c r="G12" s="159"/>
      <c r="H12" s="1"/>
      <c r="I12" s="1"/>
      <c r="J12" s="1"/>
      <c r="K12" s="1"/>
      <c r="L12" s="1"/>
      <c r="M12" s="1"/>
      <c r="N12" s="1"/>
      <c r="O12" s="1"/>
      <c r="P12" s="1"/>
      <c r="Q12" s="1"/>
      <c r="R12" s="1"/>
      <c r="S12" s="1"/>
    </row>
    <row r="13" spans="2:19" ht="27" customHeight="1" thickTop="1">
      <c r="B13" s="19"/>
      <c r="C13" s="207"/>
      <c r="D13" s="19"/>
      <c r="E13" s="134"/>
      <c r="F13" s="149"/>
      <c r="G13" s="159"/>
      <c r="H13" s="1"/>
      <c r="I13" s="1"/>
      <c r="J13" s="1"/>
      <c r="K13" s="1"/>
      <c r="L13" s="1"/>
      <c r="M13" s="1"/>
      <c r="N13" s="1"/>
      <c r="O13" s="1"/>
      <c r="P13" s="1"/>
      <c r="Q13" s="1"/>
      <c r="R13" s="1"/>
      <c r="S13" s="1"/>
    </row>
    <row r="14" ht="18" customHeight="1" thickBot="1">
      <c r="C14" s="775" t="s">
        <v>43</v>
      </c>
    </row>
    <row r="15" spans="2:13" ht="102.75" customHeight="1" thickTop="1">
      <c r="B15" s="52"/>
      <c r="C15" s="1226" t="s">
        <v>563</v>
      </c>
      <c r="D15" s="1226"/>
      <c r="E15" s="1226"/>
      <c r="F15" s="1226"/>
      <c r="G15" s="1226"/>
      <c r="H15" s="1226"/>
      <c r="I15" s="1226"/>
      <c r="J15" s="1226"/>
      <c r="K15" s="1226"/>
      <c r="L15" s="1226"/>
      <c r="M15" s="123"/>
    </row>
    <row r="16" spans="2:13" ht="27" customHeight="1">
      <c r="B16" s="55"/>
      <c r="C16" s="129" t="s">
        <v>564</v>
      </c>
      <c r="D16" s="181"/>
      <c r="E16" s="181"/>
      <c r="F16" s="181"/>
      <c r="G16" s="63"/>
      <c r="H16" s="63"/>
      <c r="I16" s="63"/>
      <c r="J16" s="63"/>
      <c r="K16" s="63"/>
      <c r="L16" s="63"/>
      <c r="M16" s="123"/>
    </row>
    <row r="17" spans="2:13" ht="27" customHeight="1">
      <c r="B17" s="55"/>
      <c r="C17" s="969" t="s">
        <v>565</v>
      </c>
      <c r="D17" s="181"/>
      <c r="E17" s="181"/>
      <c r="F17" s="181"/>
      <c r="G17" s="63"/>
      <c r="H17" s="63"/>
      <c r="I17" s="63"/>
      <c r="J17" s="63"/>
      <c r="K17" s="63"/>
      <c r="L17" s="63"/>
      <c r="M17" s="123"/>
    </row>
    <row r="18" spans="2:13" ht="19.5" customHeight="1">
      <c r="B18" s="55"/>
      <c r="C18" s="63"/>
      <c r="D18" s="136"/>
      <c r="E18" s="1129" t="s">
        <v>469</v>
      </c>
      <c r="F18" s="1227"/>
      <c r="G18" s="1227"/>
      <c r="H18" s="1227"/>
      <c r="I18" s="1227"/>
      <c r="J18" s="1227"/>
      <c r="K18" s="1227"/>
      <c r="L18" s="1130"/>
      <c r="M18" s="123"/>
    </row>
    <row r="19" spans="2:13" ht="21" customHeight="1">
      <c r="B19" s="55"/>
      <c r="C19" s="63"/>
      <c r="D19" s="136"/>
      <c r="E19" s="203" t="s">
        <v>409</v>
      </c>
      <c r="F19" s="204" t="s">
        <v>410</v>
      </c>
      <c r="G19" s="204" t="s">
        <v>414</v>
      </c>
      <c r="H19" s="117" t="s">
        <v>411</v>
      </c>
      <c r="I19" s="204" t="s">
        <v>402</v>
      </c>
      <c r="J19" s="205" t="s">
        <v>413</v>
      </c>
      <c r="K19" s="205" t="s">
        <v>415</v>
      </c>
      <c r="L19" s="118" t="s">
        <v>874</v>
      </c>
      <c r="M19" s="123"/>
    </row>
    <row r="20" spans="2:13" ht="63.75" customHeight="1">
      <c r="B20" s="65"/>
      <c r="C20" s="123"/>
      <c r="D20" s="137"/>
      <c r="E20" s="155" t="s">
        <v>566</v>
      </c>
      <c r="F20" s="5" t="s">
        <v>567</v>
      </c>
      <c r="G20" s="5" t="s">
        <v>568</v>
      </c>
      <c r="H20" s="5" t="s">
        <v>569</v>
      </c>
      <c r="I20" s="155" t="s">
        <v>570</v>
      </c>
      <c r="J20" s="8" t="s">
        <v>571</v>
      </c>
      <c r="K20" s="8" t="s">
        <v>573</v>
      </c>
      <c r="L20" s="8" t="s">
        <v>672</v>
      </c>
      <c r="M20" s="123"/>
    </row>
    <row r="21" spans="2:13" ht="45" customHeight="1">
      <c r="B21" s="55"/>
      <c r="C21" s="63"/>
      <c r="D21" s="136"/>
      <c r="E21" s="156"/>
      <c r="F21" s="6"/>
      <c r="G21" s="6"/>
      <c r="H21" s="8"/>
      <c r="I21" s="8" t="s">
        <v>443</v>
      </c>
      <c r="J21" s="124" t="s">
        <v>572</v>
      </c>
      <c r="K21" s="124" t="s">
        <v>873</v>
      </c>
      <c r="L21" s="8" t="s">
        <v>586</v>
      </c>
      <c r="M21" s="123"/>
    </row>
    <row r="22" spans="2:13" ht="15.75" customHeight="1">
      <c r="B22" s="55"/>
      <c r="C22" s="63" t="s">
        <v>574</v>
      </c>
      <c r="D22" s="138" t="s">
        <v>575</v>
      </c>
      <c r="E22" s="67">
        <v>1000</v>
      </c>
      <c r="F22" s="67">
        <v>0.9</v>
      </c>
      <c r="G22" s="67">
        <v>0.5</v>
      </c>
      <c r="H22" s="182">
        <v>0.5</v>
      </c>
      <c r="I22" s="82">
        <f>((E22/F22)*(1-F22)*H22)+(E22*H22*(1-G22))</f>
        <v>305.55555555555554</v>
      </c>
      <c r="J22" s="185">
        <f>I22*0.72/1000</f>
        <v>0.21999999999999997</v>
      </c>
      <c r="K22" s="182">
        <f>J22*21</f>
        <v>4.619999999999999</v>
      </c>
      <c r="L22" s="202">
        <f>(E22*G22*H22*1.84)/1000</f>
        <v>0.46</v>
      </c>
      <c r="M22" s="123"/>
    </row>
    <row r="23" spans="2:13" ht="23.25" customHeight="1">
      <c r="B23" s="80"/>
      <c r="C23" s="43" t="s">
        <v>576</v>
      </c>
      <c r="D23" s="139" t="s">
        <v>577</v>
      </c>
      <c r="E23" s="12"/>
      <c r="F23" s="11"/>
      <c r="G23" s="37"/>
      <c r="H23" s="126"/>
      <c r="I23" s="37"/>
      <c r="J23" s="12"/>
      <c r="K23" s="12"/>
      <c r="L23" s="12"/>
      <c r="M23" s="123"/>
    </row>
    <row r="24" spans="2:13" ht="17.25" customHeight="1">
      <c r="B24" s="55"/>
      <c r="C24" s="40"/>
      <c r="D24" s="140"/>
      <c r="E24" s="157"/>
      <c r="F24" s="127"/>
      <c r="G24" s="127"/>
      <c r="H24" s="127"/>
      <c r="I24" s="201">
        <f>IF(F24=0,0,((E24/F24)*(1-F24)*H24)+(E24*H24*(1-G24)))</f>
        <v>0</v>
      </c>
      <c r="J24" s="202">
        <f>I24*0.72/1000</f>
        <v>0</v>
      </c>
      <c r="K24" s="122">
        <f>J24*21</f>
        <v>0</v>
      </c>
      <c r="L24" s="202">
        <f>(E24*G24*H24*1.84)/1000</f>
        <v>0</v>
      </c>
      <c r="M24" s="123"/>
    </row>
    <row r="25" spans="2:13" ht="18.75" customHeight="1">
      <c r="B25" s="55"/>
      <c r="C25" s="40"/>
      <c r="D25" s="140"/>
      <c r="E25" s="157"/>
      <c r="F25" s="127"/>
      <c r="G25" s="127"/>
      <c r="H25" s="127"/>
      <c r="I25" s="201">
        <f>IF(F25=0,0,((E25/F25)*(1-F25)*H25)+(E25*H25*(1-G25)))</f>
        <v>0</v>
      </c>
      <c r="J25" s="202">
        <f>I25*0.72/1000</f>
        <v>0</v>
      </c>
      <c r="K25" s="122">
        <f>J25*21</f>
        <v>0</v>
      </c>
      <c r="L25" s="202">
        <f>(E25*G25*H25*1.84)/1000</f>
        <v>0</v>
      </c>
      <c r="M25" s="123"/>
    </row>
    <row r="26" spans="2:13" ht="18" customHeight="1">
      <c r="B26" s="55"/>
      <c r="C26" s="40"/>
      <c r="D26" s="140"/>
      <c r="E26" s="157"/>
      <c r="F26" s="127"/>
      <c r="G26" s="127"/>
      <c r="H26" s="127"/>
      <c r="I26" s="201">
        <f>IF(F26=0,0,((E26/F26)*(1-F26)*H26)+(E26*H26*(1-G26)))</f>
        <v>0</v>
      </c>
      <c r="J26" s="202">
        <f>I26*0.72/1000</f>
        <v>0</v>
      </c>
      <c r="K26" s="122">
        <f>J26*21</f>
        <v>0</v>
      </c>
      <c r="L26" s="202">
        <f>(E26*G26*H26*1.84)/1000</f>
        <v>0</v>
      </c>
      <c r="M26" s="123"/>
    </row>
    <row r="27" spans="2:13" ht="18" customHeight="1">
      <c r="B27" s="55"/>
      <c r="C27" s="40"/>
      <c r="D27" s="141"/>
      <c r="E27" s="157"/>
      <c r="F27" s="127"/>
      <c r="G27" s="127"/>
      <c r="H27" s="127"/>
      <c r="I27" s="201">
        <f>IF(F27=0,0,((E27/F27)*(1-F27)*H27)+(E27*H27*(1-G27)))</f>
        <v>0</v>
      </c>
      <c r="J27" s="202">
        <f>I27*0.72/1000</f>
        <v>0</v>
      </c>
      <c r="K27" s="122">
        <f>J27*21</f>
        <v>0</v>
      </c>
      <c r="L27" s="202">
        <f>(E27*G27*H27*1.84)/1000</f>
        <v>0</v>
      </c>
      <c r="M27" s="123"/>
    </row>
    <row r="28" spans="2:13" ht="16.5" customHeight="1">
      <c r="B28" s="55"/>
      <c r="C28" s="40"/>
      <c r="D28" s="140"/>
      <c r="E28" s="157"/>
      <c r="F28" s="127"/>
      <c r="G28" s="127"/>
      <c r="H28" s="127"/>
      <c r="I28" s="201">
        <f>IF(F28=0,0,((E28/F28)*(1-F28)*H28)+(E28*H28*(1-G28)))</f>
        <v>0</v>
      </c>
      <c r="J28" s="202">
        <f>I28*0.72/1000</f>
        <v>0</v>
      </c>
      <c r="K28" s="122">
        <f>J28*21</f>
        <v>0</v>
      </c>
      <c r="L28" s="202">
        <f>(E28*G28*H28*1.84)/1000</f>
        <v>0</v>
      </c>
      <c r="M28" s="123"/>
    </row>
    <row r="29" spans="2:13" ht="30.75" customHeight="1">
      <c r="B29" s="76"/>
      <c r="C29" s="77"/>
      <c r="D29" s="142"/>
      <c r="E29" s="142"/>
      <c r="F29" s="142"/>
      <c r="G29" s="142"/>
      <c r="H29" s="77"/>
      <c r="I29" s="77"/>
      <c r="J29" s="129"/>
      <c r="K29" s="206"/>
      <c r="L29" s="216"/>
      <c r="M29" s="123"/>
    </row>
    <row r="30" spans="2:13" ht="20.25" customHeight="1">
      <c r="B30" s="76"/>
      <c r="C30" s="1224" t="s">
        <v>578</v>
      </c>
      <c r="D30" s="1225"/>
      <c r="E30" s="1225"/>
      <c r="F30" s="1225"/>
      <c r="G30" s="1225"/>
      <c r="H30" s="1225"/>
      <c r="I30" s="1225"/>
      <c r="J30" s="1225"/>
      <c r="K30" s="130">
        <f>SUM(J24:J28)</f>
        <v>0</v>
      </c>
      <c r="L30" s="735" t="s">
        <v>579</v>
      </c>
      <c r="M30" s="123"/>
    </row>
    <row r="31" spans="2:13" ht="20.25" customHeight="1" thickBot="1">
      <c r="B31" s="76"/>
      <c r="C31" s="368"/>
      <c r="D31" s="273"/>
      <c r="E31" s="273"/>
      <c r="F31" s="273"/>
      <c r="G31" s="273"/>
      <c r="H31" s="273"/>
      <c r="I31" s="273"/>
      <c r="J31" s="273"/>
      <c r="K31" s="180">
        <f>SUM(K24:K28)</f>
        <v>0</v>
      </c>
      <c r="L31" s="1047" t="s">
        <v>585</v>
      </c>
      <c r="M31" s="192"/>
    </row>
    <row r="32" spans="2:12" ht="47.25" customHeight="1" thickTop="1">
      <c r="B32" s="1219" t="s">
        <v>622</v>
      </c>
      <c r="C32" s="1220"/>
      <c r="D32" s="1220"/>
      <c r="E32" s="1220"/>
      <c r="F32" s="1220"/>
      <c r="G32" s="1220"/>
      <c r="H32" s="1220"/>
      <c r="I32" s="1220"/>
      <c r="J32" s="1220"/>
      <c r="K32" s="1221"/>
      <c r="L32" s="1046"/>
    </row>
    <row r="33" spans="2:11" ht="18" customHeight="1">
      <c r="B33" s="55"/>
      <c r="C33" s="98"/>
      <c r="D33" s="181"/>
      <c r="E33" s="181"/>
      <c r="F33" s="181"/>
      <c r="G33" s="63"/>
      <c r="H33" s="63"/>
      <c r="I33" s="63"/>
      <c r="J33" s="63"/>
      <c r="K33" s="56"/>
    </row>
    <row r="34" spans="2:11" ht="18" customHeight="1">
      <c r="B34" s="55"/>
      <c r="C34" s="98"/>
      <c r="D34" s="181"/>
      <c r="E34" s="1129" t="s">
        <v>469</v>
      </c>
      <c r="F34" s="1227"/>
      <c r="G34" s="1227"/>
      <c r="H34" s="1227"/>
      <c r="I34" s="1227"/>
      <c r="J34" s="1130"/>
      <c r="K34" s="56"/>
    </row>
    <row r="35" spans="2:11" ht="18" customHeight="1">
      <c r="B35" s="55"/>
      <c r="C35" s="63"/>
      <c r="D35" s="136"/>
      <c r="E35" s="154" t="s">
        <v>409</v>
      </c>
      <c r="F35" s="3" t="s">
        <v>410</v>
      </c>
      <c r="G35" s="3" t="s">
        <v>414</v>
      </c>
      <c r="H35" s="3" t="s">
        <v>411</v>
      </c>
      <c r="I35" s="118" t="s">
        <v>412</v>
      </c>
      <c r="J35" s="118" t="s">
        <v>413</v>
      </c>
      <c r="K35" s="70"/>
    </row>
    <row r="36" spans="2:11" ht="147" customHeight="1">
      <c r="B36" s="65"/>
      <c r="C36" s="123"/>
      <c r="D36" s="137"/>
      <c r="E36" s="155" t="s">
        <v>623</v>
      </c>
      <c r="F36" s="5" t="s">
        <v>624</v>
      </c>
      <c r="G36" s="5" t="s">
        <v>625</v>
      </c>
      <c r="H36" s="155" t="s">
        <v>626</v>
      </c>
      <c r="I36" s="8" t="s">
        <v>571</v>
      </c>
      <c r="J36" s="8" t="s">
        <v>573</v>
      </c>
      <c r="K36" s="71"/>
    </row>
    <row r="37" spans="2:11" ht="20.25" customHeight="1">
      <c r="B37" s="55"/>
      <c r="C37" s="63"/>
      <c r="D37" s="136"/>
      <c r="E37" s="177"/>
      <c r="F37" s="8"/>
      <c r="G37" s="8"/>
      <c r="H37" s="8" t="s">
        <v>883</v>
      </c>
      <c r="I37" s="124" t="s">
        <v>368</v>
      </c>
      <c r="J37" s="124" t="s">
        <v>367</v>
      </c>
      <c r="K37" s="71"/>
    </row>
    <row r="38" spans="2:11" ht="18" customHeight="1">
      <c r="B38" s="55"/>
      <c r="C38" s="63" t="s">
        <v>627</v>
      </c>
      <c r="D38" s="138" t="s">
        <v>575</v>
      </c>
      <c r="E38" s="67">
        <v>3000000</v>
      </c>
      <c r="F38" s="67">
        <v>0.25</v>
      </c>
      <c r="G38" s="67">
        <v>600000</v>
      </c>
      <c r="H38" s="125">
        <f>E38*F38-G38</f>
        <v>150000</v>
      </c>
      <c r="I38" s="179">
        <f>H38/1000</f>
        <v>150</v>
      </c>
      <c r="J38" s="125">
        <f>I38*21</f>
        <v>3150</v>
      </c>
      <c r="K38" s="68"/>
    </row>
    <row r="39" spans="2:11" ht="18" customHeight="1">
      <c r="B39" s="80"/>
      <c r="C39" s="43" t="s">
        <v>576</v>
      </c>
      <c r="D39" s="139" t="s">
        <v>577</v>
      </c>
      <c r="E39" s="12"/>
      <c r="F39" s="11"/>
      <c r="G39" s="37"/>
      <c r="H39" s="37"/>
      <c r="I39" s="12"/>
      <c r="J39" s="12"/>
      <c r="K39" s="72"/>
    </row>
    <row r="40" spans="2:11" ht="18" customHeight="1">
      <c r="B40" s="55"/>
      <c r="C40" s="40"/>
      <c r="D40" s="140"/>
      <c r="E40" s="740"/>
      <c r="F40" s="127"/>
      <c r="G40" s="127"/>
      <c r="H40" s="128">
        <f>E40*F40-G40</f>
        <v>0</v>
      </c>
      <c r="I40" s="128">
        <f>H40/1000</f>
        <v>0</v>
      </c>
      <c r="J40" s="128">
        <f>I40*21</f>
        <v>0</v>
      </c>
      <c r="K40" s="73"/>
    </row>
    <row r="41" spans="2:11" ht="18" customHeight="1">
      <c r="B41" s="55"/>
      <c r="C41" s="40"/>
      <c r="D41" s="140"/>
      <c r="E41" s="157"/>
      <c r="F41" s="127"/>
      <c r="G41" s="127"/>
      <c r="H41" s="128">
        <f>E41*F41-G41</f>
        <v>0</v>
      </c>
      <c r="I41" s="128">
        <f>H41/1000</f>
        <v>0</v>
      </c>
      <c r="J41" s="128">
        <f>I41*21</f>
        <v>0</v>
      </c>
      <c r="K41" s="73"/>
    </row>
    <row r="42" spans="2:11" ht="18" customHeight="1">
      <c r="B42" s="55"/>
      <c r="C42" s="40"/>
      <c r="D42" s="140"/>
      <c r="E42" s="157"/>
      <c r="F42" s="127"/>
      <c r="G42" s="127"/>
      <c r="H42" s="128">
        <f>E42*F42-G42</f>
        <v>0</v>
      </c>
      <c r="I42" s="128">
        <f>H42/1000</f>
        <v>0</v>
      </c>
      <c r="J42" s="128">
        <f>I42*21</f>
        <v>0</v>
      </c>
      <c r="K42" s="73"/>
    </row>
    <row r="43" spans="2:11" ht="18" customHeight="1">
      <c r="B43" s="55"/>
      <c r="C43" s="40"/>
      <c r="D43" s="141"/>
      <c r="E43" s="157"/>
      <c r="F43" s="127"/>
      <c r="G43" s="127"/>
      <c r="H43" s="128">
        <f>E43*F43-G43</f>
        <v>0</v>
      </c>
      <c r="I43" s="128">
        <f>H43/1000</f>
        <v>0</v>
      </c>
      <c r="J43" s="128">
        <f>I43*21</f>
        <v>0</v>
      </c>
      <c r="K43" s="73"/>
    </row>
    <row r="44" spans="2:11" ht="18" customHeight="1">
      <c r="B44" s="55"/>
      <c r="C44" s="40"/>
      <c r="D44" s="140"/>
      <c r="E44" s="157"/>
      <c r="F44" s="127"/>
      <c r="G44" s="127"/>
      <c r="H44" s="128">
        <f>E44*F44-G44</f>
        <v>0</v>
      </c>
      <c r="I44" s="128">
        <f>H44/1000</f>
        <v>0</v>
      </c>
      <c r="J44" s="128">
        <f>I44*21</f>
        <v>0</v>
      </c>
      <c r="K44" s="73"/>
    </row>
    <row r="45" spans="2:11" ht="18" customHeight="1">
      <c r="B45" s="76"/>
      <c r="C45" s="77"/>
      <c r="D45" s="142"/>
      <c r="E45" s="142"/>
      <c r="F45" s="142"/>
      <c r="G45" s="77"/>
      <c r="H45" s="77"/>
      <c r="I45" s="129"/>
      <c r="J45" s="129"/>
      <c r="K45" s="74"/>
    </row>
    <row r="46" spans="2:11" ht="18" customHeight="1">
      <c r="B46" s="76"/>
      <c r="C46" s="1224" t="s">
        <v>621</v>
      </c>
      <c r="D46" s="1225"/>
      <c r="E46" s="1225"/>
      <c r="F46" s="1225"/>
      <c r="G46" s="1225"/>
      <c r="H46" s="1225"/>
      <c r="I46" s="1225"/>
      <c r="J46" s="130">
        <f>SUM(J40:J44)</f>
        <v>0</v>
      </c>
      <c r="K46" s="206" t="s">
        <v>579</v>
      </c>
    </row>
    <row r="47" spans="2:11" ht="18" customHeight="1">
      <c r="B47" s="76"/>
      <c r="C47" s="77"/>
      <c r="D47" s="142"/>
      <c r="E47" s="368"/>
      <c r="F47" s="273"/>
      <c r="G47" s="273"/>
      <c r="H47" s="273"/>
      <c r="I47" s="273"/>
      <c r="J47" s="130">
        <f>J46*21</f>
        <v>0</v>
      </c>
      <c r="K47" s="1217" t="s">
        <v>585</v>
      </c>
    </row>
    <row r="48" spans="2:11" ht="18" customHeight="1">
      <c r="B48" s="76"/>
      <c r="C48" s="129" t="s">
        <v>618</v>
      </c>
      <c r="D48" s="142"/>
      <c r="E48" s="129"/>
      <c r="F48" s="129"/>
      <c r="G48" s="129"/>
      <c r="H48" s="129"/>
      <c r="I48" s="129"/>
      <c r="J48" s="129"/>
      <c r="K48" s="1218"/>
    </row>
    <row r="49" spans="2:11" ht="18" customHeight="1">
      <c r="B49" s="76"/>
      <c r="C49" s="129"/>
      <c r="D49" s="142"/>
      <c r="E49" s="129"/>
      <c r="F49" s="129"/>
      <c r="G49" s="129"/>
      <c r="H49" s="129"/>
      <c r="I49" s="129"/>
      <c r="J49" s="129"/>
      <c r="K49" s="97"/>
    </row>
    <row r="50" spans="2:11" ht="18" customHeight="1">
      <c r="B50" s="76"/>
      <c r="C50" s="1215" t="s">
        <v>619</v>
      </c>
      <c r="D50" s="1100"/>
      <c r="E50" s="1100"/>
      <c r="F50" s="1100"/>
      <c r="G50" s="1100"/>
      <c r="H50" s="1100"/>
      <c r="I50" s="1216"/>
      <c r="J50" s="130">
        <f>(K30+J46)</f>
        <v>0</v>
      </c>
      <c r="K50" s="56"/>
    </row>
    <row r="51" spans="2:11" ht="36.75" customHeight="1">
      <c r="B51" s="76"/>
      <c r="C51" s="1215" t="s">
        <v>620</v>
      </c>
      <c r="D51" s="1100"/>
      <c r="E51" s="1100"/>
      <c r="F51" s="1100"/>
      <c r="G51" s="1100"/>
      <c r="H51" s="1100"/>
      <c r="I51" s="1216"/>
      <c r="J51" s="840">
        <f>J50*21</f>
        <v>0</v>
      </c>
      <c r="K51" s="1217" t="s">
        <v>585</v>
      </c>
    </row>
    <row r="52" spans="2:11" ht="18" customHeight="1">
      <c r="B52" s="76"/>
      <c r="C52" s="129"/>
      <c r="D52" s="129"/>
      <c r="E52" s="129"/>
      <c r="F52" s="129"/>
      <c r="G52" s="129"/>
      <c r="H52" s="129"/>
      <c r="I52" s="129"/>
      <c r="J52" s="129"/>
      <c r="K52" s="1218"/>
    </row>
    <row r="53" spans="2:11" ht="18" customHeight="1" thickBot="1">
      <c r="B53" s="183"/>
      <c r="C53" s="186"/>
      <c r="D53" s="186"/>
      <c r="E53" s="186"/>
      <c r="F53" s="186"/>
      <c r="G53" s="186"/>
      <c r="H53" s="186"/>
      <c r="I53" s="186"/>
      <c r="J53" s="186"/>
      <c r="K53" s="837"/>
    </row>
    <row r="54" ht="18" customHeight="1" thickTop="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c r="Q243"/>
    </row>
    <row r="244" ht="12.75">
      <c r="Q244"/>
    </row>
    <row r="245" ht="12.75">
      <c r="Q245"/>
    </row>
    <row r="246" ht="12.75">
      <c r="Q246"/>
    </row>
    <row r="247" ht="12.75">
      <c r="Q247"/>
    </row>
  </sheetData>
  <mergeCells count="15">
    <mergeCell ref="C46:I46"/>
    <mergeCell ref="C15:L15"/>
    <mergeCell ref="E34:J34"/>
    <mergeCell ref="C30:J30"/>
    <mergeCell ref="E18:L18"/>
    <mergeCell ref="C50:I50"/>
    <mergeCell ref="K47:K48"/>
    <mergeCell ref="A1:T1"/>
    <mergeCell ref="K51:K52"/>
    <mergeCell ref="B32:K32"/>
    <mergeCell ref="B9:C9"/>
    <mergeCell ref="B10:C10"/>
    <mergeCell ref="B11:C11"/>
    <mergeCell ref="C4:K4"/>
    <mergeCell ref="C51:I51"/>
  </mergeCells>
  <printOptions/>
  <pageMargins left="0.75" right="0.75" top="0.64" bottom="0.64" header="0.5" footer="0.5"/>
  <pageSetup fitToHeight="2" fitToWidth="1" horizontalDpi="600" verticalDpi="600" orientation="landscape"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Rivera</dc:creator>
  <cp:keywords/>
  <dc:description/>
  <cp:lastModifiedBy>CesarR</cp:lastModifiedBy>
  <cp:lastPrinted>2006-03-07T22:16:12Z</cp:lastPrinted>
  <dcterms:created xsi:type="dcterms:W3CDTF">2000-06-30T18:41:26Z</dcterms:created>
  <dcterms:modified xsi:type="dcterms:W3CDTF">2007-03-16T19:13:34Z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