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onewri-my.sharepoint.com/personal/kevin_kurkul_wri_org/Documents/Desktop/"/>
    </mc:Choice>
  </mc:AlternateContent>
  <xr:revisionPtr revIDLastSave="5" documentId="13_ncr:1_{67E69336-E4F4-4C60-A6CA-1B24814B25D5}" xr6:coauthVersionLast="47" xr6:coauthVersionMax="47" xr10:uidLastSave="{D6476CD0-ACBF-4B24-8339-616C509769E1}"/>
  <workbookProtection workbookAlgorithmName="SHA-512" workbookHashValue="UZzOwnThwyg3FYhKHd89E+T5R1wYyUgFfQ0r5lEu2wWDaiqakUfheWCYzS5+HGPZZ/dWc4i7llXS9KK/DIie9g==" workbookSaltValue="GbVELrN1NJCqy3yLz3pbvg==" workbookSpinCount="100000" lockStructure="1"/>
  <bookViews>
    <workbookView xWindow="-108" yWindow="-108" windowWidth="23256" windowHeight="12576" tabRatio="1000" xr2:uid="{1E7D4D2A-4EC6-4D40-96A3-CB52051D5305}"/>
  </bookViews>
  <sheets>
    <sheet name="Welcome!" sheetId="25" r:id="rId1"/>
    <sheet name="1. Introduction" sheetId="15" r:id="rId2"/>
    <sheet name="2. Stationary combustion CO2" sheetId="8" r:id="rId3"/>
    <sheet name="3. Appendix A" sheetId="4" r:id="rId4"/>
    <sheet name="4.Stationary combustion CH4 N2O" sheetId="9" r:id="rId5"/>
    <sheet name="5. Appendix B" sheetId="20" r:id="rId6"/>
    <sheet name="6. Onsite coke production" sheetId="1" r:id="rId7"/>
    <sheet name="7. Offsite coke production" sheetId="5" r:id="rId8"/>
    <sheet name="8. Flaring" sheetId="18" r:id="rId9"/>
    <sheet name="9. Sinter production" sheetId="2" r:id="rId10"/>
    <sheet name="10. DRI production" sheetId="10" r:id="rId11"/>
    <sheet name="11. Iron and Steel production" sheetId="3" r:id="rId12"/>
    <sheet name="12. Appendix C" sheetId="14" r:id="rId13"/>
    <sheet name="13. Onsite lime CO2" sheetId="13" r:id="rId14"/>
    <sheet name="14. Offsite lime CO2" sheetId="12" r:id="rId15"/>
    <sheet name="15. Appendix D" sheetId="19" r:id="rId16"/>
    <sheet name="16. Summary of emissions" sheetId="11" r:id="rId17"/>
    <sheet name="17. Abbreviations &amp; Conversions" sheetId="23" r:id="rId18"/>
    <sheet name="18. Revision History" sheetId="22" r:id="rId19"/>
  </sheets>
  <definedNames>
    <definedName name="Carbonates">'13. Onsite lime CO2'!$C$44:$D$50</definedName>
    <definedName name="CO2perGJ_jet" localSheetId="17">#REF!</definedName>
    <definedName name="CO2perGJ_jet">#REF!</definedName>
    <definedName name="D1_Air" localSheetId="17">#REF!</definedName>
    <definedName name="D1_Air">#REF!</definedName>
    <definedName name="D1_Air_total" localSheetId="17">#REF!</definedName>
    <definedName name="D1_Air_total">#REF!</definedName>
    <definedName name="D1_Boat" localSheetId="17">#REF!</definedName>
    <definedName name="D1_Boat">#REF!</definedName>
    <definedName name="D1_Boat_total" localSheetId="17">#REF!</definedName>
    <definedName name="D1_Boat_total">#REF!</definedName>
    <definedName name="D1_Rail" localSheetId="17">#REF!</definedName>
    <definedName name="D1_Rail">#REF!</definedName>
    <definedName name="D1_Rail_total" localSheetId="17">#REF!</definedName>
    <definedName name="D1_Rail_total">#REF!</definedName>
    <definedName name="D1_Road" localSheetId="17">#REF!</definedName>
    <definedName name="D1_Road">#REF!</definedName>
    <definedName name="D1_Road_total" localSheetId="17">#REF!</definedName>
    <definedName name="D1_Road_total">#REF!</definedName>
    <definedName name="DirectPart1" localSheetId="17">#REF!</definedName>
    <definedName name="DirectPart1">#REF!</definedName>
    <definedName name="Gjperton_jet" localSheetId="17">#REF!</definedName>
    <definedName name="Gjperton_jet">#REF!</definedName>
    <definedName name="In2_Air" localSheetId="17">#REF!</definedName>
    <definedName name="In2_Air">#REF!</definedName>
    <definedName name="In2_Air_total" localSheetId="17">#REF!</definedName>
    <definedName name="In2_Air_total">#REF!</definedName>
    <definedName name="In2_Boat" localSheetId="17">#REF!</definedName>
    <definedName name="In2_Boat">#REF!</definedName>
    <definedName name="In2_Boat_total" localSheetId="17">#REF!</definedName>
    <definedName name="In2_Boat_total">#REF!</definedName>
    <definedName name="In2_Rail" localSheetId="17">#REF!</definedName>
    <definedName name="In2_Rail">#REF!</definedName>
    <definedName name="In2_Rail_total" localSheetId="17">#REF!</definedName>
    <definedName name="In2_Rail_total">#REF!</definedName>
    <definedName name="IN2_Road_total" localSheetId="17">#REF!</definedName>
    <definedName name="IN2_Road_total">#REF!</definedName>
    <definedName name="kmper_nm" localSheetId="17">#REF!</definedName>
    <definedName name="kmper_nm">#REF!</definedName>
    <definedName name="line_type" localSheetId="17">#REF!</definedName>
    <definedName name="line_type">#REF!</definedName>
    <definedName name="_xlnm.Print_Area" localSheetId="17">#REF!</definedName>
    <definedName name="_xlnm.Print_Area">#REF!</definedName>
    <definedName name="_xlnm.Print_Titles" localSheetId="17">#REF!</definedName>
    <definedName name="_xlnm.Print_Tit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1" l="1"/>
  <c r="H14" i="11"/>
  <c r="H16" i="11"/>
  <c r="H15" i="11"/>
  <c r="H13" i="11"/>
  <c r="H12" i="11"/>
  <c r="I12" i="11"/>
  <c r="H20" i="11"/>
  <c r="H19" i="11"/>
  <c r="H18" i="11"/>
  <c r="E18" i="11"/>
  <c r="E17" i="11"/>
  <c r="E16" i="11"/>
  <c r="D24" i="18"/>
  <c r="D29" i="18"/>
  <c r="E14" i="11"/>
  <c r="E13" i="11"/>
  <c r="H14" i="2"/>
  <c r="C18" i="2"/>
  <c r="I21" i="11"/>
  <c r="E6" i="23"/>
  <c r="F6" i="23"/>
  <c r="C8" i="23"/>
  <c r="F8" i="23"/>
  <c r="G8" i="23"/>
  <c r="C9" i="23"/>
  <c r="E9" i="23"/>
  <c r="G9" i="23"/>
  <c r="E10" i="23"/>
  <c r="F10" i="23"/>
  <c r="C27" i="23"/>
  <c r="F26" i="23" s="1"/>
  <c r="C28" i="23"/>
  <c r="H38" i="23"/>
  <c r="I38" i="23"/>
  <c r="F41" i="23"/>
  <c r="H39" i="23" s="1"/>
  <c r="G41" i="23"/>
  <c r="H40" i="23" s="1"/>
  <c r="F42" i="23"/>
  <c r="I39" i="23" s="1"/>
  <c r="G42" i="23"/>
  <c r="I40" i="23" s="1"/>
  <c r="E43" i="23"/>
  <c r="J38" i="23" s="1"/>
  <c r="F43" i="23"/>
  <c r="J39" i="23" s="1"/>
  <c r="G43" i="23"/>
  <c r="J40" i="23" s="1"/>
  <c r="H26" i="23" l="1"/>
  <c r="G26" i="23"/>
  <c r="C35" i="18" l="1"/>
  <c r="K10" i="18" l="1"/>
  <c r="L15" i="18"/>
  <c r="R16" i="1"/>
  <c r="R21" i="1"/>
  <c r="E20" i="1"/>
  <c r="M16" i="5"/>
  <c r="E25" i="1"/>
  <c r="O20" i="1"/>
  <c r="L13" i="3"/>
  <c r="L10" i="18"/>
  <c r="E58" i="1"/>
  <c r="E57" i="1"/>
  <c r="E56" i="1"/>
  <c r="E55" i="1"/>
  <c r="E54" i="1"/>
  <c r="C14" i="11"/>
  <c r="E43" i="2"/>
  <c r="E42" i="2"/>
  <c r="E41" i="2"/>
  <c r="E59" i="1" l="1"/>
  <c r="H34" i="20" l="1"/>
  <c r="H12" i="20"/>
  <c r="L30" i="20"/>
  <c r="K30" i="20"/>
  <c r="J30" i="20"/>
  <c r="J30" i="4" l="1"/>
  <c r="G30" i="4" l="1"/>
  <c r="I30" i="4"/>
  <c r="I12" i="10"/>
  <c r="G64" i="4"/>
  <c r="G63" i="4"/>
  <c r="G62" i="4"/>
  <c r="G61" i="4"/>
  <c r="G60" i="4"/>
  <c r="G59" i="4"/>
  <c r="G58" i="4"/>
  <c r="G57" i="4"/>
  <c r="G56" i="4"/>
  <c r="G55" i="4"/>
  <c r="G54" i="4"/>
  <c r="G52" i="4"/>
  <c r="G50" i="4"/>
  <c r="G49" i="4"/>
  <c r="G46" i="4"/>
  <c r="G47" i="4"/>
  <c r="G48" i="4"/>
  <c r="G45" i="4"/>
  <c r="G44" i="4"/>
  <c r="G43" i="4"/>
  <c r="G42" i="4"/>
  <c r="G41" i="4"/>
  <c r="G40" i="4"/>
  <c r="G39" i="4"/>
  <c r="G38" i="4"/>
  <c r="G37" i="4"/>
  <c r="G36" i="4"/>
  <c r="G35" i="4"/>
  <c r="G34" i="4"/>
  <c r="G26" i="4"/>
  <c r="G27" i="4"/>
  <c r="G28" i="4"/>
  <c r="G29" i="4"/>
  <c r="G31" i="4"/>
  <c r="G32" i="4"/>
  <c r="G33" i="4"/>
  <c r="G25" i="4"/>
  <c r="G13" i="4"/>
  <c r="G14" i="4"/>
  <c r="G15" i="4"/>
  <c r="G16" i="4"/>
  <c r="G17" i="4"/>
  <c r="G18" i="4"/>
  <c r="G19" i="4"/>
  <c r="G20" i="4"/>
  <c r="G21" i="4"/>
  <c r="G22" i="4"/>
  <c r="G23" i="4"/>
  <c r="G24" i="4"/>
  <c r="G12" i="4"/>
  <c r="E65" i="3" l="1"/>
  <c r="E36" i="10" l="1"/>
  <c r="E37" i="10"/>
  <c r="E38" i="10"/>
  <c r="E39" i="10"/>
  <c r="K24" i="20"/>
  <c r="J24" i="20"/>
  <c r="J23" i="20"/>
  <c r="K23" i="20"/>
  <c r="H23" i="20"/>
  <c r="L24" i="20"/>
  <c r="L23" i="20"/>
  <c r="J24" i="4"/>
  <c r="J23" i="4"/>
  <c r="I23" i="4"/>
  <c r="M23" i="20" l="1"/>
  <c r="N24" i="20"/>
  <c r="M24" i="20"/>
  <c r="N23" i="20"/>
  <c r="F10" i="19" l="1"/>
  <c r="B43" i="2"/>
  <c r="B42" i="2"/>
  <c r="B41" i="2"/>
  <c r="B57" i="5"/>
  <c r="B56" i="5"/>
  <c r="B55" i="5"/>
  <c r="B54" i="5"/>
  <c r="B53" i="5"/>
  <c r="C53" i="1" l="1"/>
  <c r="E53" i="1" s="1"/>
  <c r="B53" i="1"/>
  <c r="B58" i="1"/>
  <c r="B57" i="1"/>
  <c r="B56" i="1"/>
  <c r="B55" i="1"/>
  <c r="B54" i="1"/>
  <c r="C33" i="2" l="1"/>
  <c r="H29" i="2" s="1"/>
  <c r="H79" i="20" l="1"/>
  <c r="H80" i="20"/>
  <c r="H81" i="20"/>
  <c r="H82" i="20"/>
  <c r="H83" i="20"/>
  <c r="H84" i="20"/>
  <c r="H85" i="20"/>
  <c r="H86" i="20"/>
  <c r="H87" i="20"/>
  <c r="H88" i="20"/>
  <c r="H89" i="20"/>
  <c r="H90" i="20"/>
  <c r="H91" i="20"/>
  <c r="H92" i="20"/>
  <c r="H93" i="20"/>
  <c r="H94" i="20"/>
  <c r="H95" i="20"/>
  <c r="H96" i="20"/>
  <c r="I96" i="20" l="1"/>
  <c r="I92" i="20"/>
  <c r="I91" i="20"/>
  <c r="I90" i="20"/>
  <c r="I89" i="20"/>
  <c r="I88" i="20"/>
  <c r="I87" i="20"/>
  <c r="I86" i="20"/>
  <c r="I85" i="20"/>
  <c r="I84" i="20"/>
  <c r="I83" i="20"/>
  <c r="I82" i="20"/>
  <c r="I80" i="20"/>
  <c r="I79" i="20"/>
  <c r="L64" i="20"/>
  <c r="K64" i="20"/>
  <c r="I64" i="20"/>
  <c r="H64" i="20"/>
  <c r="J64" i="20"/>
  <c r="L63" i="20"/>
  <c r="K63" i="20"/>
  <c r="I63" i="20"/>
  <c r="H63" i="20"/>
  <c r="J63" i="20"/>
  <c r="L62" i="20"/>
  <c r="K62" i="20"/>
  <c r="I62" i="20"/>
  <c r="H62" i="20"/>
  <c r="J62" i="20"/>
  <c r="L61" i="20"/>
  <c r="K61" i="20"/>
  <c r="I61" i="20"/>
  <c r="H61" i="20"/>
  <c r="J61" i="20"/>
  <c r="L60" i="20"/>
  <c r="K60" i="20"/>
  <c r="I60" i="20"/>
  <c r="H60" i="20"/>
  <c r="J60" i="20"/>
  <c r="L59" i="20"/>
  <c r="K59" i="20"/>
  <c r="I59" i="20"/>
  <c r="H59" i="20"/>
  <c r="J59" i="20"/>
  <c r="L58" i="20"/>
  <c r="K58" i="20"/>
  <c r="I58" i="20"/>
  <c r="H58" i="20"/>
  <c r="J58" i="20"/>
  <c r="L57" i="20"/>
  <c r="K57" i="20"/>
  <c r="I57" i="20"/>
  <c r="H57" i="20"/>
  <c r="J57" i="20"/>
  <c r="L56" i="20"/>
  <c r="K56" i="20"/>
  <c r="I56" i="20"/>
  <c r="H56" i="20"/>
  <c r="J56" i="20"/>
  <c r="L55" i="20"/>
  <c r="K55" i="20"/>
  <c r="I55" i="20"/>
  <c r="H55" i="20"/>
  <c r="J55" i="20"/>
  <c r="L54" i="20"/>
  <c r="K54" i="20"/>
  <c r="I54" i="20"/>
  <c r="H54" i="20"/>
  <c r="J54" i="20"/>
  <c r="L53" i="20"/>
  <c r="K53" i="20"/>
  <c r="I53" i="20"/>
  <c r="H53" i="20"/>
  <c r="J53" i="20"/>
  <c r="L52" i="20"/>
  <c r="K52" i="20"/>
  <c r="I52" i="20"/>
  <c r="H52" i="20"/>
  <c r="J52" i="20"/>
  <c r="L51" i="20"/>
  <c r="K51" i="20"/>
  <c r="L50" i="20"/>
  <c r="K50" i="20"/>
  <c r="I50" i="20"/>
  <c r="H50" i="20"/>
  <c r="J50" i="20"/>
  <c r="L49" i="20"/>
  <c r="K49" i="20"/>
  <c r="I49" i="20"/>
  <c r="H49" i="20"/>
  <c r="J49" i="20"/>
  <c r="L48" i="20"/>
  <c r="K48" i="20"/>
  <c r="I48" i="20"/>
  <c r="H48" i="20"/>
  <c r="J48" i="20"/>
  <c r="L47" i="20"/>
  <c r="K47" i="20"/>
  <c r="I47" i="20"/>
  <c r="H47" i="20"/>
  <c r="J47" i="20"/>
  <c r="L46" i="20"/>
  <c r="K46" i="20"/>
  <c r="I46" i="20"/>
  <c r="H46" i="20"/>
  <c r="J46" i="20"/>
  <c r="L45" i="20"/>
  <c r="K45" i="20"/>
  <c r="I45" i="20"/>
  <c r="H45" i="20"/>
  <c r="J45" i="20"/>
  <c r="L44" i="20"/>
  <c r="K44" i="20"/>
  <c r="I44" i="20"/>
  <c r="H44" i="20"/>
  <c r="J44" i="20"/>
  <c r="L43" i="20"/>
  <c r="K43" i="20"/>
  <c r="I43" i="20"/>
  <c r="H43" i="20"/>
  <c r="J43" i="20"/>
  <c r="L42" i="20"/>
  <c r="K42" i="20"/>
  <c r="I42" i="20"/>
  <c r="H42" i="20"/>
  <c r="J42" i="20"/>
  <c r="L41" i="20"/>
  <c r="K41" i="20"/>
  <c r="I41" i="20"/>
  <c r="H41" i="20"/>
  <c r="J41" i="20"/>
  <c r="L40" i="20"/>
  <c r="K40" i="20"/>
  <c r="I40" i="20"/>
  <c r="H40" i="20"/>
  <c r="J40" i="20"/>
  <c r="L39" i="20"/>
  <c r="K39" i="20"/>
  <c r="I39" i="20"/>
  <c r="H39" i="20"/>
  <c r="J39" i="20"/>
  <c r="L38" i="20"/>
  <c r="K38" i="20"/>
  <c r="I38" i="20"/>
  <c r="H38" i="20"/>
  <c r="J38" i="20"/>
  <c r="L37" i="20"/>
  <c r="K37" i="20"/>
  <c r="I37" i="20"/>
  <c r="H37" i="20"/>
  <c r="J37" i="20"/>
  <c r="L36" i="20"/>
  <c r="K36" i="20"/>
  <c r="I36" i="20"/>
  <c r="H36" i="20"/>
  <c r="J36" i="20"/>
  <c r="L35" i="20"/>
  <c r="K35" i="20"/>
  <c r="I35" i="20"/>
  <c r="H35" i="20"/>
  <c r="J35" i="20"/>
  <c r="L34" i="20"/>
  <c r="K34" i="20"/>
  <c r="I34" i="20"/>
  <c r="J34" i="20"/>
  <c r="L33" i="20"/>
  <c r="K33" i="20"/>
  <c r="I33" i="20"/>
  <c r="H33" i="20"/>
  <c r="J33" i="20"/>
  <c r="L32" i="20"/>
  <c r="K32" i="20"/>
  <c r="I32" i="20"/>
  <c r="H32" i="20"/>
  <c r="J32" i="20"/>
  <c r="L31" i="20"/>
  <c r="K31" i="20"/>
  <c r="I31" i="20"/>
  <c r="H31" i="20"/>
  <c r="J31" i="20"/>
  <c r="I30" i="20"/>
  <c r="H30" i="20"/>
  <c r="L29" i="20"/>
  <c r="K29" i="20"/>
  <c r="I29" i="20"/>
  <c r="H29" i="20"/>
  <c r="J29" i="20"/>
  <c r="L28" i="20"/>
  <c r="K28" i="20"/>
  <c r="I28" i="20"/>
  <c r="H28" i="20"/>
  <c r="J28" i="20"/>
  <c r="L27" i="20"/>
  <c r="K27" i="20"/>
  <c r="I27" i="20"/>
  <c r="H27" i="20"/>
  <c r="J27" i="20"/>
  <c r="L26" i="20"/>
  <c r="K26" i="20"/>
  <c r="I26" i="20"/>
  <c r="H26" i="20"/>
  <c r="J26" i="20"/>
  <c r="L25" i="20"/>
  <c r="K25" i="20"/>
  <c r="I25" i="20"/>
  <c r="H25" i="20"/>
  <c r="J25" i="20"/>
  <c r="I24" i="20"/>
  <c r="H24" i="20"/>
  <c r="I23" i="20"/>
  <c r="L22" i="20"/>
  <c r="K22" i="20"/>
  <c r="I22" i="20"/>
  <c r="H22" i="20"/>
  <c r="J22" i="20"/>
  <c r="L21" i="20"/>
  <c r="K21" i="20"/>
  <c r="I21" i="20"/>
  <c r="H21" i="20"/>
  <c r="J21" i="20"/>
  <c r="L20" i="20"/>
  <c r="K20" i="20"/>
  <c r="I20" i="20"/>
  <c r="H20" i="20"/>
  <c r="J20" i="20"/>
  <c r="L19" i="20"/>
  <c r="K19" i="20"/>
  <c r="I19" i="20"/>
  <c r="H19" i="20"/>
  <c r="J19" i="20"/>
  <c r="L18" i="20"/>
  <c r="K18" i="20"/>
  <c r="I18" i="20"/>
  <c r="H18" i="20"/>
  <c r="J18" i="20"/>
  <c r="L17" i="20"/>
  <c r="K17" i="20"/>
  <c r="I17" i="20"/>
  <c r="H17" i="20"/>
  <c r="J17" i="20"/>
  <c r="L16" i="20"/>
  <c r="K16" i="20"/>
  <c r="I16" i="20"/>
  <c r="H16" i="20"/>
  <c r="J16" i="20"/>
  <c r="L15" i="20"/>
  <c r="K15" i="20"/>
  <c r="I15" i="20"/>
  <c r="H15" i="20"/>
  <c r="J15" i="20"/>
  <c r="L14" i="20"/>
  <c r="K14" i="20"/>
  <c r="I14" i="20"/>
  <c r="H14" i="20"/>
  <c r="J14" i="20"/>
  <c r="L13" i="20"/>
  <c r="K13" i="20"/>
  <c r="I13" i="20"/>
  <c r="H13" i="20"/>
  <c r="J13" i="20"/>
  <c r="L12" i="20"/>
  <c r="K12" i="20"/>
  <c r="I12" i="20"/>
  <c r="J12" i="20"/>
  <c r="E57" i="5"/>
  <c r="E56" i="5"/>
  <c r="E55" i="5"/>
  <c r="E54" i="5"/>
  <c r="E53" i="5"/>
  <c r="E52" i="5"/>
  <c r="N15" i="20" l="1"/>
  <c r="N55" i="20"/>
  <c r="N63" i="20"/>
  <c r="M33" i="20"/>
  <c r="M55" i="20"/>
  <c r="M63" i="20"/>
  <c r="M27" i="20"/>
  <c r="M35" i="20"/>
  <c r="M43" i="20"/>
  <c r="M47" i="20"/>
  <c r="N43" i="20"/>
  <c r="M36" i="20"/>
  <c r="M44" i="20"/>
  <c r="M61" i="20"/>
  <c r="N61" i="20"/>
  <c r="M54" i="20"/>
  <c r="N18" i="20"/>
  <c r="N38" i="20"/>
  <c r="N46" i="20"/>
  <c r="M31" i="20"/>
  <c r="N47" i="20"/>
  <c r="M52" i="20"/>
  <c r="N52" i="20"/>
  <c r="M16" i="20"/>
  <c r="M32" i="20"/>
  <c r="M40" i="20"/>
  <c r="N32" i="20"/>
  <c r="N40" i="20"/>
  <c r="M21" i="20"/>
  <c r="N13" i="20"/>
  <c r="N21" i="20"/>
  <c r="N49" i="20"/>
  <c r="N22" i="20"/>
  <c r="N42" i="20"/>
  <c r="M58" i="20"/>
  <c r="M49" i="20"/>
  <c r="N27" i="20"/>
  <c r="M29" i="20"/>
  <c r="M59" i="20"/>
  <c r="M18" i="20"/>
  <c r="M46" i="20"/>
  <c r="N16" i="20"/>
  <c r="M41" i="20"/>
  <c r="M64" i="20"/>
  <c r="M53" i="20"/>
  <c r="M19" i="20"/>
  <c r="N30" i="20"/>
  <c r="N53" i="20"/>
  <c r="M56" i="20"/>
  <c r="N19" i="20"/>
  <c r="M22" i="20"/>
  <c r="N33" i="20"/>
  <c r="N56" i="20"/>
  <c r="M25" i="20"/>
  <c r="N36" i="20"/>
  <c r="N59" i="20"/>
  <c r="M30" i="20"/>
  <c r="M14" i="20"/>
  <c r="N25" i="20"/>
  <c r="M50" i="20"/>
  <c r="N14" i="20"/>
  <c r="M39" i="20"/>
  <c r="N50" i="20"/>
  <c r="M62" i="20"/>
  <c r="M42" i="20"/>
  <c r="N17" i="20"/>
  <c r="N28" i="20"/>
  <c r="M45" i="20"/>
  <c r="M17" i="20"/>
  <c r="M20" i="20"/>
  <c r="N29" i="20"/>
  <c r="N31" i="20"/>
  <c r="M34" i="20"/>
  <c r="N45" i="20"/>
  <c r="N54" i="20"/>
  <c r="M57" i="20"/>
  <c r="M28" i="20"/>
  <c r="N39" i="20"/>
  <c r="N62" i="20"/>
  <c r="N20" i="20"/>
  <c r="N34" i="20"/>
  <c r="N57" i="20"/>
  <c r="N64" i="20"/>
  <c r="M26" i="20"/>
  <c r="N35" i="20"/>
  <c r="M37" i="20"/>
  <c r="M48" i="20"/>
  <c r="N58" i="20"/>
  <c r="M60" i="20"/>
  <c r="N12" i="20"/>
  <c r="M15" i="20"/>
  <c r="N26" i="20"/>
  <c r="N37" i="20"/>
  <c r="N48" i="20"/>
  <c r="N60" i="20"/>
  <c r="N41" i="20"/>
  <c r="M12" i="20"/>
  <c r="M13" i="20"/>
  <c r="M38" i="20"/>
  <c r="N44" i="20"/>
  <c r="I13" i="4"/>
  <c r="I12" i="4"/>
  <c r="J12" i="4"/>
  <c r="E17" i="9"/>
  <c r="F17" i="9"/>
  <c r="G17" i="9"/>
  <c r="H17" i="9"/>
  <c r="I17" i="9"/>
  <c r="K17" i="9"/>
  <c r="E18" i="9"/>
  <c r="F18" i="9"/>
  <c r="G18" i="9"/>
  <c r="H18" i="9"/>
  <c r="I18" i="9"/>
  <c r="K18" i="9"/>
  <c r="E19" i="9"/>
  <c r="F19" i="9"/>
  <c r="G19" i="9"/>
  <c r="J19" i="9" s="1"/>
  <c r="H19" i="9"/>
  <c r="I19" i="9"/>
  <c r="K19" i="9"/>
  <c r="E20" i="9"/>
  <c r="F20" i="9"/>
  <c r="G20" i="9"/>
  <c r="H20" i="9"/>
  <c r="I20" i="9"/>
  <c r="K20" i="9"/>
  <c r="E21" i="9"/>
  <c r="F21" i="9"/>
  <c r="G21" i="9"/>
  <c r="H21" i="9"/>
  <c r="I21" i="9"/>
  <c r="K21" i="9"/>
  <c r="E22" i="9"/>
  <c r="F22" i="9"/>
  <c r="G22" i="9"/>
  <c r="H22" i="9"/>
  <c r="I22" i="9"/>
  <c r="K22" i="9"/>
  <c r="E23" i="9"/>
  <c r="F23" i="9"/>
  <c r="G23" i="9"/>
  <c r="H23" i="9"/>
  <c r="I23" i="9"/>
  <c r="K23" i="9"/>
  <c r="E24" i="9"/>
  <c r="J24" i="9" s="1"/>
  <c r="F24" i="9"/>
  <c r="G24" i="9"/>
  <c r="H24" i="9"/>
  <c r="I24" i="9"/>
  <c r="K24" i="9"/>
  <c r="E25" i="9"/>
  <c r="F25" i="9"/>
  <c r="G25" i="9"/>
  <c r="H25" i="9"/>
  <c r="I25" i="9"/>
  <c r="K25" i="9"/>
  <c r="E26" i="9"/>
  <c r="F26" i="9"/>
  <c r="G26" i="9"/>
  <c r="H26" i="9"/>
  <c r="I26" i="9"/>
  <c r="K26" i="9"/>
  <c r="E27" i="9"/>
  <c r="F27" i="9"/>
  <c r="G27" i="9"/>
  <c r="H27" i="9"/>
  <c r="I27" i="9"/>
  <c r="K27" i="9"/>
  <c r="E28" i="9"/>
  <c r="F28" i="9"/>
  <c r="G28" i="9"/>
  <c r="H28" i="9"/>
  <c r="I28" i="9"/>
  <c r="K28" i="9"/>
  <c r="E29" i="9"/>
  <c r="F29" i="9"/>
  <c r="G29" i="9"/>
  <c r="H29" i="9"/>
  <c r="I29" i="9"/>
  <c r="K29" i="9"/>
  <c r="E30" i="9"/>
  <c r="F30" i="9"/>
  <c r="G30" i="9"/>
  <c r="H30" i="9"/>
  <c r="I30" i="9"/>
  <c r="K30" i="9"/>
  <c r="E31" i="9"/>
  <c r="F31" i="9"/>
  <c r="G31" i="9"/>
  <c r="H31" i="9"/>
  <c r="I31" i="9"/>
  <c r="K31" i="9"/>
  <c r="E32" i="9"/>
  <c r="F32" i="9"/>
  <c r="G32" i="9"/>
  <c r="H32" i="9"/>
  <c r="I32" i="9"/>
  <c r="K32" i="9"/>
  <c r="E33" i="9"/>
  <c r="F33" i="9"/>
  <c r="G33" i="9"/>
  <c r="H33" i="9"/>
  <c r="I33" i="9"/>
  <c r="K33" i="9"/>
  <c r="E34" i="9"/>
  <c r="F34" i="9"/>
  <c r="G34" i="9"/>
  <c r="H34" i="9"/>
  <c r="I34" i="9"/>
  <c r="K34" i="9"/>
  <c r="K16" i="9"/>
  <c r="E43" i="9"/>
  <c r="F43" i="9"/>
  <c r="G43" i="9"/>
  <c r="H43" i="9"/>
  <c r="I43" i="9"/>
  <c r="K43" i="9"/>
  <c r="K14" i="13"/>
  <c r="F23" i="19"/>
  <c r="F22" i="19"/>
  <c r="F21" i="19"/>
  <c r="F20" i="19"/>
  <c r="F19" i="19"/>
  <c r="F18" i="19"/>
  <c r="F17" i="19"/>
  <c r="F16" i="19"/>
  <c r="F15" i="19"/>
  <c r="F14" i="19"/>
  <c r="F13" i="19"/>
  <c r="F12" i="19"/>
  <c r="F11" i="19"/>
  <c r="F9" i="19"/>
  <c r="F8" i="19"/>
  <c r="F7" i="19"/>
  <c r="H32" i="13"/>
  <c r="F32" i="13"/>
  <c r="E35" i="10"/>
  <c r="L30" i="18"/>
  <c r="L25" i="18"/>
  <c r="L20" i="18"/>
  <c r="D14" i="18"/>
  <c r="E58" i="5"/>
  <c r="E45" i="5"/>
  <c r="E40" i="5"/>
  <c r="E35" i="5"/>
  <c r="E30" i="5"/>
  <c r="E25" i="5"/>
  <c r="E20" i="5"/>
  <c r="O25" i="1"/>
  <c r="O45" i="1"/>
  <c r="E35" i="1"/>
  <c r="E30" i="1"/>
  <c r="E45" i="1"/>
  <c r="E40" i="1"/>
  <c r="J27" i="9" l="1"/>
  <c r="J30" i="9"/>
  <c r="J33" i="9"/>
  <c r="J43" i="9"/>
  <c r="J18" i="9"/>
  <c r="J20" i="9"/>
  <c r="J21" i="9"/>
  <c r="J17" i="9"/>
  <c r="J23" i="9"/>
  <c r="J29" i="9"/>
  <c r="J26" i="9"/>
  <c r="J32" i="9"/>
  <c r="J28" i="9"/>
  <c r="J22" i="9"/>
  <c r="J34" i="9"/>
  <c r="J31" i="9"/>
  <c r="J25" i="9"/>
  <c r="L37" i="18"/>
  <c r="F15" i="11" s="1"/>
  <c r="K14" i="9"/>
  <c r="I14" i="9"/>
  <c r="H14" i="9"/>
  <c r="G14" i="9"/>
  <c r="F14" i="9"/>
  <c r="E14" i="9"/>
  <c r="D14" i="9"/>
  <c r="C14" i="9"/>
  <c r="B46" i="8"/>
  <c r="B47" i="8"/>
  <c r="B48" i="8"/>
  <c r="I63" i="4"/>
  <c r="I62" i="4"/>
  <c r="I61" i="4"/>
  <c r="I49" i="4"/>
  <c r="I48" i="4"/>
  <c r="I47" i="4"/>
  <c r="I46" i="4"/>
  <c r="I45" i="4"/>
  <c r="I64" i="4"/>
  <c r="I60" i="4"/>
  <c r="I59" i="4"/>
  <c r="I58" i="4"/>
  <c r="I57" i="4"/>
  <c r="I56" i="4"/>
  <c r="I55" i="4"/>
  <c r="I54" i="4"/>
  <c r="I53" i="4"/>
  <c r="I52" i="4"/>
  <c r="I50" i="4"/>
  <c r="I44" i="4"/>
  <c r="I43" i="4"/>
  <c r="I42" i="4"/>
  <c r="I41" i="4"/>
  <c r="I40" i="4"/>
  <c r="I39" i="4"/>
  <c r="I38" i="4"/>
  <c r="I37" i="4"/>
  <c r="I36" i="4"/>
  <c r="I35" i="4"/>
  <c r="I34" i="4"/>
  <c r="I33" i="4"/>
  <c r="I32" i="4"/>
  <c r="I31" i="4"/>
  <c r="I29" i="4"/>
  <c r="I28" i="4"/>
  <c r="I27" i="4"/>
  <c r="I26" i="4"/>
  <c r="I25" i="4"/>
  <c r="I24" i="4"/>
  <c r="I22" i="4"/>
  <c r="I21" i="4"/>
  <c r="I20" i="4"/>
  <c r="I19" i="4"/>
  <c r="I18" i="4"/>
  <c r="I17" i="4"/>
  <c r="I16" i="4"/>
  <c r="I15" i="4"/>
  <c r="I14" i="4"/>
  <c r="J14" i="9" l="1"/>
  <c r="G44" i="8"/>
  <c r="J16" i="8"/>
  <c r="J17" i="8" l="1"/>
  <c r="P17" i="8" s="1"/>
  <c r="P16" i="8"/>
  <c r="J15" i="8"/>
  <c r="P15" i="8" s="1"/>
  <c r="J14" i="4"/>
  <c r="J63" i="4" l="1"/>
  <c r="J62" i="4"/>
  <c r="J61" i="4"/>
  <c r="J49" i="4"/>
  <c r="J46" i="4"/>
  <c r="J47" i="4"/>
  <c r="J48" i="4"/>
  <c r="J45" i="4"/>
  <c r="J13" i="4"/>
  <c r="J15" i="4"/>
  <c r="J16" i="4"/>
  <c r="J17" i="4"/>
  <c r="J18" i="4"/>
  <c r="J19" i="4"/>
  <c r="J20" i="4"/>
  <c r="J21" i="4"/>
  <c r="J22" i="4"/>
  <c r="J25" i="4"/>
  <c r="J26" i="4"/>
  <c r="J27" i="4"/>
  <c r="J28" i="4"/>
  <c r="J29" i="4"/>
  <c r="J31" i="4"/>
  <c r="J32" i="4"/>
  <c r="J33" i="4"/>
  <c r="J34" i="4"/>
  <c r="J35" i="4"/>
  <c r="J36" i="4"/>
  <c r="J37" i="4"/>
  <c r="J38" i="4"/>
  <c r="J39" i="4"/>
  <c r="J40" i="4"/>
  <c r="J41" i="4"/>
  <c r="J42" i="4"/>
  <c r="J43" i="4"/>
  <c r="J44" i="4"/>
  <c r="J50" i="4"/>
  <c r="J52" i="4"/>
  <c r="J53" i="4"/>
  <c r="J54" i="4"/>
  <c r="J55" i="4"/>
  <c r="J56" i="4"/>
  <c r="J57" i="4"/>
  <c r="J58" i="4"/>
  <c r="J59" i="4"/>
  <c r="J60" i="4"/>
  <c r="J64" i="4"/>
  <c r="D19" i="18"/>
  <c r="K15" i="18" s="1"/>
  <c r="K20" i="18"/>
  <c r="K25" i="18"/>
  <c r="D34" i="18"/>
  <c r="K30" i="18" s="1"/>
  <c r="U38" i="8"/>
  <c r="V38" i="8" s="1"/>
  <c r="E45" i="9"/>
  <c r="G45" i="9"/>
  <c r="E15" i="9"/>
  <c r="G15" i="9"/>
  <c r="K44" i="9"/>
  <c r="K45" i="9"/>
  <c r="K46" i="9"/>
  <c r="K47" i="9"/>
  <c r="K48" i="9"/>
  <c r="K49" i="9"/>
  <c r="K50" i="9"/>
  <c r="K51" i="9"/>
  <c r="I44" i="9"/>
  <c r="I45" i="9"/>
  <c r="I46" i="9"/>
  <c r="I47" i="9"/>
  <c r="I48" i="9"/>
  <c r="I49" i="9"/>
  <c r="I50" i="9"/>
  <c r="I51" i="9"/>
  <c r="H44" i="9"/>
  <c r="H45" i="9"/>
  <c r="H46" i="9"/>
  <c r="H47" i="9"/>
  <c r="H48" i="9"/>
  <c r="H49" i="9"/>
  <c r="H50" i="9"/>
  <c r="H51" i="9"/>
  <c r="G44" i="9"/>
  <c r="G46" i="9"/>
  <c r="G47" i="9"/>
  <c r="G48" i="9"/>
  <c r="G49" i="9"/>
  <c r="G50" i="9"/>
  <c r="G51" i="9"/>
  <c r="F44" i="9"/>
  <c r="F45" i="9"/>
  <c r="F46" i="9"/>
  <c r="F47" i="9"/>
  <c r="F48" i="9"/>
  <c r="F49" i="9"/>
  <c r="F50" i="9"/>
  <c r="F51" i="9"/>
  <c r="E44" i="9"/>
  <c r="E46" i="9"/>
  <c r="E47" i="9"/>
  <c r="E48" i="9"/>
  <c r="E49" i="9"/>
  <c r="E50" i="9"/>
  <c r="E51" i="9"/>
  <c r="K42" i="9"/>
  <c r="I42" i="9"/>
  <c r="H42" i="9"/>
  <c r="G42" i="9"/>
  <c r="F42" i="9"/>
  <c r="E42" i="9"/>
  <c r="D44" i="9"/>
  <c r="D45" i="9"/>
  <c r="D46" i="9"/>
  <c r="D47" i="9"/>
  <c r="D48" i="9"/>
  <c r="D49" i="9"/>
  <c r="D50" i="9"/>
  <c r="D51" i="9"/>
  <c r="D42" i="9"/>
  <c r="C44" i="9"/>
  <c r="C45" i="9"/>
  <c r="C46" i="9"/>
  <c r="C47" i="9"/>
  <c r="C48" i="9"/>
  <c r="C49" i="9"/>
  <c r="C50" i="9"/>
  <c r="C51" i="9"/>
  <c r="C42" i="9"/>
  <c r="K15" i="9"/>
  <c r="I16" i="9"/>
  <c r="H16" i="9"/>
  <c r="G16" i="9"/>
  <c r="F16" i="9"/>
  <c r="E16" i="9"/>
  <c r="I15" i="9"/>
  <c r="H15" i="9"/>
  <c r="F15" i="9"/>
  <c r="D16" i="9"/>
  <c r="D17" i="9"/>
  <c r="D18" i="9"/>
  <c r="D19" i="9"/>
  <c r="D20" i="9"/>
  <c r="D21" i="9"/>
  <c r="D22" i="9"/>
  <c r="D23" i="9"/>
  <c r="D24" i="9"/>
  <c r="D25" i="9"/>
  <c r="D26" i="9"/>
  <c r="D27" i="9"/>
  <c r="D28" i="9"/>
  <c r="D29" i="9"/>
  <c r="D30" i="9"/>
  <c r="D31" i="9"/>
  <c r="D32" i="9"/>
  <c r="D33" i="9"/>
  <c r="D34" i="9"/>
  <c r="D15" i="9"/>
  <c r="C15" i="9"/>
  <c r="C16" i="9"/>
  <c r="C17" i="9"/>
  <c r="C18" i="9"/>
  <c r="C19" i="9"/>
  <c r="C20" i="9"/>
  <c r="C21" i="9"/>
  <c r="C22" i="9"/>
  <c r="C23" i="9"/>
  <c r="C24" i="9"/>
  <c r="C25" i="9"/>
  <c r="C26" i="9"/>
  <c r="C27" i="9"/>
  <c r="C28" i="9"/>
  <c r="C29" i="9"/>
  <c r="C30" i="9"/>
  <c r="C31" i="9"/>
  <c r="C32" i="9"/>
  <c r="C33" i="9"/>
  <c r="C34" i="9"/>
  <c r="K15" i="13"/>
  <c r="K16" i="13"/>
  <c r="K17" i="13"/>
  <c r="K18" i="13"/>
  <c r="K19" i="13"/>
  <c r="K20" i="13"/>
  <c r="K21" i="13"/>
  <c r="K22" i="13"/>
  <c r="K23" i="13"/>
  <c r="K24" i="13"/>
  <c r="K25" i="13"/>
  <c r="K26" i="13"/>
  <c r="K27" i="13"/>
  <c r="K28" i="13"/>
  <c r="K29" i="13"/>
  <c r="K30" i="13"/>
  <c r="K31" i="13"/>
  <c r="K16" i="12"/>
  <c r="K17" i="12"/>
  <c r="K18" i="12"/>
  <c r="K19" i="12"/>
  <c r="K20" i="12"/>
  <c r="K21" i="12"/>
  <c r="K22" i="12"/>
  <c r="K23" i="12"/>
  <c r="K24" i="12"/>
  <c r="K25" i="12"/>
  <c r="K26" i="12"/>
  <c r="K27" i="12"/>
  <c r="E28" i="12"/>
  <c r="E40" i="2"/>
  <c r="I13" i="10"/>
  <c r="I14" i="10"/>
  <c r="I15" i="10"/>
  <c r="I16" i="10"/>
  <c r="I17" i="10"/>
  <c r="I18" i="10"/>
  <c r="I19" i="10"/>
  <c r="I20" i="10"/>
  <c r="I21" i="10"/>
  <c r="I22" i="10"/>
  <c r="I23" i="10"/>
  <c r="I24" i="10"/>
  <c r="I25" i="10"/>
  <c r="I26" i="10"/>
  <c r="I27" i="10"/>
  <c r="E40" i="10"/>
  <c r="E41" i="10"/>
  <c r="E42" i="10"/>
  <c r="E43" i="10"/>
  <c r="E57" i="3"/>
  <c r="E58" i="3"/>
  <c r="E59" i="3"/>
  <c r="E60" i="3"/>
  <c r="E61" i="3"/>
  <c r="E62" i="3"/>
  <c r="E63" i="3"/>
  <c r="E64" i="3"/>
  <c r="E56" i="3"/>
  <c r="C48" i="3"/>
  <c r="L40" i="3" s="1"/>
  <c r="C39" i="3"/>
  <c r="L31" i="3" s="1"/>
  <c r="C30" i="3"/>
  <c r="L22" i="3" s="1"/>
  <c r="C21" i="3"/>
  <c r="C23" i="2"/>
  <c r="H19" i="2" s="1"/>
  <c r="C28" i="2"/>
  <c r="H24" i="2" s="1"/>
  <c r="Q14" i="9"/>
  <c r="B16" i="9"/>
  <c r="B17" i="9" s="1"/>
  <c r="B18" i="9" s="1"/>
  <c r="B19" i="9" s="1"/>
  <c r="B20" i="9" s="1"/>
  <c r="B21" i="9" s="1"/>
  <c r="B22" i="9" s="1"/>
  <c r="B23" i="9" s="1"/>
  <c r="B24" i="9" s="1"/>
  <c r="B25" i="9" s="1"/>
  <c r="B26" i="9" s="1"/>
  <c r="B27" i="9" s="1"/>
  <c r="B28" i="9" s="1"/>
  <c r="B29" i="9" s="1"/>
  <c r="B30" i="9" s="1"/>
  <c r="B31" i="9" s="1"/>
  <c r="B32" i="9" s="1"/>
  <c r="B33" i="9" s="1"/>
  <c r="B34" i="9" s="1"/>
  <c r="B43" i="9"/>
  <c r="B44" i="9" s="1"/>
  <c r="B45" i="9" s="1"/>
  <c r="B46" i="9" s="1"/>
  <c r="B47" i="9" s="1"/>
  <c r="B48" i="9" s="1"/>
  <c r="B49" i="9" s="1"/>
  <c r="B50" i="9" s="1"/>
  <c r="B51" i="9" s="1"/>
  <c r="Q15" i="8"/>
  <c r="V15" i="8" s="1"/>
  <c r="V16" i="8"/>
  <c r="B17" i="8"/>
  <c r="B18" i="8" s="1"/>
  <c r="B19" i="8" s="1"/>
  <c r="B20" i="8" s="1"/>
  <c r="B21" i="8" s="1"/>
  <c r="B22" i="8" s="1"/>
  <c r="B23" i="8" s="1"/>
  <c r="B24" i="8" s="1"/>
  <c r="B25" i="8" s="1"/>
  <c r="B26" i="8" s="1"/>
  <c r="B27" i="8" s="1"/>
  <c r="B28" i="8" s="1"/>
  <c r="B29" i="8" s="1"/>
  <c r="B30" i="8" s="1"/>
  <c r="B31" i="8" s="1"/>
  <c r="B32" i="8" s="1"/>
  <c r="B33" i="8" s="1"/>
  <c r="B34" i="8" s="1"/>
  <c r="B35" i="8" s="1"/>
  <c r="Q17" i="8"/>
  <c r="V17" i="8"/>
  <c r="J18" i="8"/>
  <c r="P18" i="8" s="1"/>
  <c r="Q18" i="8" s="1"/>
  <c r="V18" i="8"/>
  <c r="J19" i="8"/>
  <c r="P19" i="8" s="1"/>
  <c r="Q19" i="8" s="1"/>
  <c r="V19" i="8"/>
  <c r="J20" i="8"/>
  <c r="V20" i="8"/>
  <c r="J21" i="8"/>
  <c r="P21" i="8" s="1"/>
  <c r="Q21" i="8" s="1"/>
  <c r="V21" i="8"/>
  <c r="J22" i="8"/>
  <c r="V22" i="8"/>
  <c r="J23" i="8"/>
  <c r="V23" i="8"/>
  <c r="J24" i="8"/>
  <c r="V24" i="8"/>
  <c r="J25" i="8"/>
  <c r="P25" i="8" s="1"/>
  <c r="Q25" i="8"/>
  <c r="V25" i="8"/>
  <c r="J26" i="8"/>
  <c r="P26" i="8" s="1"/>
  <c r="Q26" i="8" s="1"/>
  <c r="V26" i="8"/>
  <c r="J27" i="8"/>
  <c r="P27" i="8" s="1"/>
  <c r="Q27" i="8" s="1"/>
  <c r="V27" i="8"/>
  <c r="J28" i="8"/>
  <c r="V28" i="8"/>
  <c r="J29" i="8"/>
  <c r="P29" i="8" s="1"/>
  <c r="Q29" i="8" s="1"/>
  <c r="V29" i="8"/>
  <c r="J30" i="8"/>
  <c r="V30" i="8"/>
  <c r="J31" i="8"/>
  <c r="V31" i="8"/>
  <c r="J32" i="8"/>
  <c r="V32" i="8"/>
  <c r="J33" i="8"/>
  <c r="V33" i="8"/>
  <c r="J34" i="8"/>
  <c r="P34" i="8" s="1"/>
  <c r="Q34" i="8" s="1"/>
  <c r="V34" i="8"/>
  <c r="J35" i="8"/>
  <c r="P35" i="8" s="1"/>
  <c r="Q35" i="8" s="1"/>
  <c r="V35" i="8"/>
  <c r="J44" i="8"/>
  <c r="P44" i="8" s="1"/>
  <c r="V44" i="8"/>
  <c r="B49" i="8"/>
  <c r="B50" i="8" s="1"/>
  <c r="B51" i="8" s="1"/>
  <c r="B52" i="8" s="1"/>
  <c r="B53" i="8" s="1"/>
  <c r="J45" i="8"/>
  <c r="P45" i="8" s="1"/>
  <c r="V45" i="8"/>
  <c r="J46" i="8"/>
  <c r="V46" i="8"/>
  <c r="J47" i="8"/>
  <c r="P47" i="8" s="1"/>
  <c r="V47" i="8"/>
  <c r="J48" i="8"/>
  <c r="V48" i="8"/>
  <c r="J49" i="8"/>
  <c r="P49" i="8" s="1"/>
  <c r="Q49" i="8" s="1"/>
  <c r="V49" i="8"/>
  <c r="J50" i="8"/>
  <c r="P50" i="8" s="1"/>
  <c r="Q50" i="8" s="1"/>
  <c r="V50" i="8"/>
  <c r="J51" i="8"/>
  <c r="V51" i="8"/>
  <c r="J52" i="8"/>
  <c r="V52" i="8"/>
  <c r="J53" i="8"/>
  <c r="P53" i="8" s="1"/>
  <c r="Q53" i="8" s="1"/>
  <c r="V53" i="8"/>
  <c r="U56" i="8"/>
  <c r="V56" i="8" s="1"/>
  <c r="J20" i="5"/>
  <c r="J25" i="5"/>
  <c r="M21" i="5" s="1"/>
  <c r="J30" i="5"/>
  <c r="M26" i="5" s="1"/>
  <c r="J35" i="5"/>
  <c r="M31" i="5" s="1"/>
  <c r="J40" i="5"/>
  <c r="M36" i="5" s="1"/>
  <c r="J45" i="5"/>
  <c r="M41" i="5" s="1"/>
  <c r="R41" i="1"/>
  <c r="O40" i="1"/>
  <c r="R36" i="1" s="1"/>
  <c r="O35" i="1"/>
  <c r="R31" i="1" s="1"/>
  <c r="O30" i="1"/>
  <c r="R26" i="1" s="1"/>
  <c r="K37" i="18" l="1"/>
  <c r="C15" i="11" s="1"/>
  <c r="M46" i="5"/>
  <c r="J50" i="9"/>
  <c r="H34" i="2"/>
  <c r="C16" i="11" s="1"/>
  <c r="K32" i="13"/>
  <c r="C19" i="11" s="1"/>
  <c r="L49" i="3"/>
  <c r="C18" i="11" s="1"/>
  <c r="E44" i="10"/>
  <c r="I28" i="10"/>
  <c r="C17" i="11" s="1"/>
  <c r="E44" i="2"/>
  <c r="R46" i="1"/>
  <c r="C13" i="11" s="1"/>
  <c r="J48" i="9"/>
  <c r="Q48" i="9" s="1"/>
  <c r="J47" i="9"/>
  <c r="Q47" i="9" s="1"/>
  <c r="K28" i="12"/>
  <c r="C20" i="11" s="1"/>
  <c r="Q45" i="8"/>
  <c r="Q32" i="9"/>
  <c r="Q29" i="9"/>
  <c r="J16" i="9"/>
  <c r="R16" i="9" s="1"/>
  <c r="J42" i="9"/>
  <c r="Q42" i="9" s="1"/>
  <c r="Q21" i="9"/>
  <c r="Q28" i="9"/>
  <c r="R30" i="9"/>
  <c r="J46" i="9"/>
  <c r="Q46" i="9" s="1"/>
  <c r="J49" i="9"/>
  <c r="R49" i="9" s="1"/>
  <c r="Q24" i="9"/>
  <c r="R24" i="9"/>
  <c r="Q22" i="9"/>
  <c r="R22" i="9"/>
  <c r="Q50" i="9"/>
  <c r="R50" i="9"/>
  <c r="J44" i="9"/>
  <c r="Q44" i="9" s="1"/>
  <c r="P51" i="8"/>
  <c r="Q51" i="8" s="1"/>
  <c r="P52" i="8"/>
  <c r="Q52" i="8" s="1"/>
  <c r="Q20" i="9"/>
  <c r="J45" i="9"/>
  <c r="Q45" i="9" s="1"/>
  <c r="P28" i="8"/>
  <c r="Q28" i="8" s="1"/>
  <c r="Q25" i="9"/>
  <c r="P20" i="8"/>
  <c r="P33" i="8"/>
  <c r="Q33" i="8" s="1"/>
  <c r="P32" i="8"/>
  <c r="Q32" i="8" s="1"/>
  <c r="P31" i="8"/>
  <c r="Q31" i="8" s="1"/>
  <c r="P30" i="8"/>
  <c r="Q30" i="8" s="1"/>
  <c r="P22" i="8"/>
  <c r="Q22" i="8" s="1"/>
  <c r="Q19" i="9"/>
  <c r="P48" i="8"/>
  <c r="Q48" i="8" s="1"/>
  <c r="P24" i="8"/>
  <c r="Q24" i="8" s="1"/>
  <c r="P23" i="8"/>
  <c r="Q23" i="8" s="1"/>
  <c r="P46" i="8"/>
  <c r="Q47" i="8"/>
  <c r="Q43" i="9"/>
  <c r="Q27" i="9"/>
  <c r="R18" i="9"/>
  <c r="R17" i="9"/>
  <c r="Q33" i="9"/>
  <c r="Q31" i="9"/>
  <c r="J51" i="9"/>
  <c r="Q51" i="9" s="1"/>
  <c r="Q34" i="9"/>
  <c r="J15" i="9"/>
  <c r="Q15" i="9" s="1"/>
  <c r="Q44" i="8"/>
  <c r="Q26" i="9"/>
  <c r="R26" i="9"/>
  <c r="Q18" i="9"/>
  <c r="Q16" i="8"/>
  <c r="R33" i="9"/>
  <c r="Q17" i="9"/>
  <c r="Q23" i="9"/>
  <c r="R23" i="9"/>
  <c r="Q49" i="9"/>
  <c r="R14" i="9"/>
  <c r="R48" i="9" l="1"/>
  <c r="R46" i="9"/>
  <c r="R47" i="9"/>
  <c r="P56" i="8"/>
  <c r="P38" i="8"/>
  <c r="R29" i="9"/>
  <c r="R32" i="9"/>
  <c r="Q16" i="9"/>
  <c r="R21" i="9"/>
  <c r="Q30" i="9"/>
  <c r="Q53" i="9" s="1"/>
  <c r="R28" i="9"/>
  <c r="R42" i="9"/>
  <c r="R34" i="9"/>
  <c r="Q20" i="8"/>
  <c r="Q38" i="8" s="1"/>
  <c r="C12" i="11" s="1"/>
  <c r="R25" i="9"/>
  <c r="R20" i="9"/>
  <c r="Q46" i="8"/>
  <c r="Q56" i="8" s="1"/>
  <c r="D12" i="11" s="1"/>
  <c r="R19" i="9"/>
  <c r="R27" i="9"/>
  <c r="R45" i="9"/>
  <c r="R44" i="9"/>
  <c r="R43" i="9"/>
  <c r="R31" i="9"/>
  <c r="R51" i="9"/>
  <c r="R15" i="9"/>
  <c r="E12" i="11" l="1"/>
  <c r="R53" i="9"/>
  <c r="G12" i="11" s="1"/>
  <c r="H21" i="11" l="1"/>
</calcChain>
</file>

<file path=xl/sharedStrings.xml><?xml version="1.0" encoding="utf-8"?>
<sst xmlns="http://schemas.openxmlformats.org/spreadsheetml/2006/main" count="1092" uniqueCount="611">
  <si>
    <r>
      <rPr>
        <b/>
        <sz val="11"/>
        <rFont val="Arial"/>
        <family val="2"/>
      </rPr>
      <t>Calculating GHG Emissions from Iron and Steel Production</t>
    </r>
    <r>
      <rPr>
        <sz val="11"/>
        <rFont val="Arial"/>
        <family val="2"/>
      </rPr>
      <t xml:space="preserve">
Version 2.1, June 2024
This tool was last modified in May 2024 with the support of the Greenhouse Gas Management Institute (www.ghginstitute.org). 
This workbook also contains an Abbreviations and Conversions tab, where you can find common abbreviations used in GHG accounting as well as unit conversion factors. </t>
    </r>
  </si>
  <si>
    <t>Calculation Tools Disclaimer</t>
  </si>
  <si>
    <t>These spreadsheets and associated materials have been prepared with a high degree of expertise and professionalism, and it is believed that they provide a useful and accurate approach for calculating greenhouse gas emissions. However, the organizations involved in their development collectively and individually, do not warrant these spreadsheets for any purpose, nor do they make any representations regarding their fitness for any use or purpose whatsoever.
Each user agrees to decide if, when, and how to use these spreadsheets and does so at his or her sole risk. When using the tools provided on the GHG Protocol website, you agree that you are not entitled to rely on any information generated using these worksheets. You further agree to hold WRI, WBCSD, and any of their partners in the creation of the tools, harmless for loss you might suffer arising out of: any inaccuracies in numbers generated by the worksheets or variation between predictions and your actual results. Under no circumstances shall WRI, WBCSD, or any of their partners that helped create the tools, be liable for any damages, including incidental, special or consequential damages, arising from the use of these spreadsheets or an inability to use them.
If you distribute these tools through any means other than the GHG Protocol website at www.ghgprotocol.org, you should check the website to ensure the tool being provided is the latest version available, and provide information to users on how to check for updates and revisions to the tools.</t>
  </si>
  <si>
    <r>
      <rPr>
        <sz val="11"/>
        <rFont val="Arial"/>
        <family val="2"/>
      </rPr>
      <t xml:space="preserve">For any inquiries, please contact the Greenhouse Gas Protocol </t>
    </r>
    <r>
      <rPr>
        <u/>
        <sz val="11"/>
        <color theme="10"/>
        <rFont val="Arial"/>
        <family val="2"/>
      </rPr>
      <t>Technical Support Form</t>
    </r>
  </si>
  <si>
    <r>
      <t>Worksheet 1: Calculating CO</t>
    </r>
    <r>
      <rPr>
        <b/>
        <vertAlign val="subscript"/>
        <sz val="12"/>
        <rFont val="Arial"/>
        <family val="2"/>
      </rPr>
      <t>2</t>
    </r>
    <r>
      <rPr>
        <b/>
        <sz val="12"/>
        <rFont val="Arial"/>
        <family val="2"/>
      </rPr>
      <t xml:space="preserve"> emissions from stationary combustion</t>
    </r>
  </si>
  <si>
    <t>User-entered values</t>
  </si>
  <si>
    <t>Auto-calculated non-editable values</t>
  </si>
  <si>
    <t>Example row</t>
  </si>
  <si>
    <t>Please refer to Appendix A for the default heating value and carbon content values for a range of fuels</t>
  </si>
  <si>
    <t>For biomass fuels, use Table 2 below.</t>
  </si>
  <si>
    <t>User must ensure units and basis of heating values are consistent.</t>
  </si>
  <si>
    <t>Step 1</t>
  </si>
  <si>
    <t>Step 2</t>
  </si>
  <si>
    <t>Step 3</t>
  </si>
  <si>
    <t>Step 4</t>
  </si>
  <si>
    <t>Step 5</t>
  </si>
  <si>
    <t>Step 6</t>
  </si>
  <si>
    <t>Direct Measurement Verification</t>
  </si>
  <si>
    <t>A</t>
  </si>
  <si>
    <t>B</t>
  </si>
  <si>
    <t xml:space="preserve">C </t>
  </si>
  <si>
    <t>D</t>
  </si>
  <si>
    <t>E</t>
  </si>
  <si>
    <t>F</t>
  </si>
  <si>
    <t>G</t>
  </si>
  <si>
    <t>H</t>
  </si>
  <si>
    <t>I</t>
  </si>
  <si>
    <t>J</t>
  </si>
  <si>
    <t>K</t>
  </si>
  <si>
    <t>L</t>
  </si>
  <si>
    <t>M</t>
  </si>
  <si>
    <t>N</t>
  </si>
  <si>
    <t>O</t>
  </si>
  <si>
    <t>P</t>
  </si>
  <si>
    <t>Q</t>
  </si>
  <si>
    <t>Fossil Fuels Only</t>
  </si>
  <si>
    <t>Quantity of fuel combusted</t>
  </si>
  <si>
    <t>Units for 
A</t>
  </si>
  <si>
    <t>Heat / Calorific Value of fuel</t>
  </si>
  <si>
    <t>Units for 
C</t>
  </si>
  <si>
    <t>Basis of Heating Values</t>
  </si>
  <si>
    <t>Energy content of fuel combusted</t>
  </si>
  <si>
    <t>Units for 
F</t>
  </si>
  <si>
    <t>Carbon content factor</t>
  </si>
  <si>
    <t>Units for 
H</t>
  </si>
  <si>
    <t>Oxidation factor</t>
  </si>
  <si>
    <t>Unit conversion factor to kg</t>
  </si>
  <si>
    <r>
      <t>CO</t>
    </r>
    <r>
      <rPr>
        <vertAlign val="subscript"/>
        <sz val="10"/>
        <rFont val="Arial"/>
        <family val="2"/>
      </rPr>
      <t>2</t>
    </r>
    <r>
      <rPr>
        <sz val="10"/>
        <rFont val="Arial"/>
        <family val="2"/>
      </rPr>
      <t xml:space="preserve"> emissions in kg</t>
    </r>
  </si>
  <si>
    <r>
      <t>CO</t>
    </r>
    <r>
      <rPr>
        <vertAlign val="subscript"/>
        <sz val="10"/>
        <rFont val="Arial"/>
        <family val="2"/>
      </rPr>
      <t>2</t>
    </r>
    <r>
      <rPr>
        <sz val="10"/>
        <rFont val="Arial"/>
        <family val="2"/>
      </rPr>
      <t xml:space="preserve"> emissions in metric tons </t>
    </r>
  </si>
  <si>
    <r>
      <t>Is direct CO</t>
    </r>
    <r>
      <rPr>
        <vertAlign val="subscript"/>
        <sz val="10"/>
        <rFont val="Arial"/>
        <family val="2"/>
      </rPr>
      <t>2</t>
    </r>
    <r>
      <rPr>
        <sz val="10"/>
        <rFont val="Arial"/>
        <family val="2"/>
      </rPr>
      <t xml:space="preserve"> measurement data available?</t>
    </r>
  </si>
  <si>
    <r>
      <t>CO</t>
    </r>
    <r>
      <rPr>
        <vertAlign val="subscript"/>
        <sz val="10"/>
        <rFont val="Arial"/>
        <family val="2"/>
      </rPr>
      <t>2</t>
    </r>
    <r>
      <rPr>
        <sz val="10"/>
        <rFont val="Arial"/>
        <family val="2"/>
      </rPr>
      <t xml:space="preserve"> Emissions 
metric tons</t>
    </r>
  </si>
  <si>
    <t>Difference between Direct measurement and calculation</t>
  </si>
  <si>
    <t>Data source of direct measurement data</t>
  </si>
  <si>
    <t>Source</t>
  </si>
  <si>
    <t>Fuel type</t>
  </si>
  <si>
    <t>(GCV or NCV)</t>
  </si>
  <si>
    <t>F = A * C</t>
  </si>
  <si>
    <t>L = F * H * J * K * 44/12</t>
  </si>
  <si>
    <t>M = L / 1000</t>
  </si>
  <si>
    <t>(Y or N)</t>
  </si>
  <si>
    <t>P = (O - M) / O</t>
  </si>
  <si>
    <t>Source 1</t>
  </si>
  <si>
    <t>Coking coal</t>
  </si>
  <si>
    <t>kg</t>
  </si>
  <si>
    <t>GJ/kg</t>
  </si>
  <si>
    <t>NCV</t>
  </si>
  <si>
    <t>GJ</t>
  </si>
  <si>
    <t>kg C/GJ</t>
  </si>
  <si>
    <t>Y</t>
  </si>
  <si>
    <t>Stack CEM data using U.S. 40CFR Part 75</t>
  </si>
  <si>
    <t>To insert more records, copy row above this line and insert "Copied cells" here.</t>
  </si>
  <si>
    <r>
      <t>Note:</t>
    </r>
    <r>
      <rPr>
        <b/>
        <sz val="11"/>
        <rFont val="Arial"/>
        <family val="2"/>
      </rPr>
      <t xml:space="preserve">  The direct emissions associated with stationary combustion should be reported in scope 1 as direct emissions from stationary sources.</t>
    </r>
  </si>
  <si>
    <t>in kg</t>
  </si>
  <si>
    <t>in tonnes</t>
  </si>
  <si>
    <r>
      <t>TOTAL CO</t>
    </r>
    <r>
      <rPr>
        <b/>
        <vertAlign val="subscript"/>
        <sz val="12"/>
        <rFont val="Arial"/>
        <family val="2"/>
      </rPr>
      <t>2</t>
    </r>
    <r>
      <rPr>
        <b/>
        <sz val="12"/>
        <rFont val="Arial"/>
        <family val="2"/>
      </rPr>
      <t xml:space="preserve"> Emissions</t>
    </r>
  </si>
  <si>
    <t>Biomass Fuels Only</t>
  </si>
  <si>
    <t>Landfill gas</t>
  </si>
  <si>
    <t>kg/GJ</t>
  </si>
  <si>
    <r>
      <t>TOTAL CO</t>
    </r>
    <r>
      <rPr>
        <b/>
        <vertAlign val="subscript"/>
        <sz val="12"/>
        <rFont val="Arial"/>
        <family val="2"/>
      </rPr>
      <t xml:space="preserve">2 </t>
    </r>
    <r>
      <rPr>
        <b/>
        <sz val="12"/>
        <rFont val="Arial"/>
        <family val="2"/>
      </rPr>
      <t>Emissions (Biogenic)</t>
    </r>
  </si>
  <si>
    <t>Appendix A: Default Values for fuel carbon contents and heating values</t>
  </si>
  <si>
    <r>
      <t>This appendix should be used with spreadsheet 1: Calculating  CO</t>
    </r>
    <r>
      <rPr>
        <vertAlign val="subscript"/>
        <sz val="12"/>
        <rFont val="Arial"/>
        <family val="2"/>
      </rPr>
      <t>2</t>
    </r>
    <r>
      <rPr>
        <sz val="12"/>
        <rFont val="Arial"/>
        <family val="2"/>
      </rPr>
      <t xml:space="preserve"> emissions from stationary combustion</t>
    </r>
  </si>
  <si>
    <t>HHV = Higher Heating Value or GCV = Gross Calorific Value</t>
  </si>
  <si>
    <t>LHV = Lower Heating Value or NCV = Net Calorific Value</t>
  </si>
  <si>
    <t>Fuel</t>
  </si>
  <si>
    <t>Note</t>
  </si>
  <si>
    <t xml:space="preserve">Carbon content </t>
  </si>
  <si>
    <t>Heating values</t>
  </si>
  <si>
    <t>Carbon oxidation factor (%)</t>
  </si>
  <si>
    <t>%basis
(% w/w)</t>
  </si>
  <si>
    <r>
      <t>Energy basis</t>
    </r>
    <r>
      <rPr>
        <b/>
        <vertAlign val="superscript"/>
        <sz val="11"/>
        <rFont val="Arial"/>
        <family val="2"/>
      </rPr>
      <t>3</t>
    </r>
  </si>
  <si>
    <t>LHV (or NCV) units
(MJ/kg or TJ/Gg)</t>
  </si>
  <si>
    <t>HHV (or GCV) 
units
(MJ/kg or TJ/Gg)</t>
  </si>
  <si>
    <t>HHV (or GCV) 
units (thousand Btu/lb)</t>
  </si>
  <si>
    <t>LHV (or NCV) basis 
(kg C/GJ)</t>
  </si>
  <si>
    <t>HHV (or GCV) basis
(kg C/GJ)</t>
  </si>
  <si>
    <t>Crude oil and derived substances</t>
  </si>
  <si>
    <t>Crude oil</t>
  </si>
  <si>
    <t>Orimulsion</t>
  </si>
  <si>
    <t>Natural Gas Liquids</t>
  </si>
  <si>
    <t>Motor Gasoline</t>
  </si>
  <si>
    <t>Aviation Gasoline</t>
  </si>
  <si>
    <t>Jet Gasoline</t>
  </si>
  <si>
    <t>Jet Kerosene</t>
  </si>
  <si>
    <t>Other Kerosene</t>
  </si>
  <si>
    <t>Shale oil</t>
  </si>
  <si>
    <t>Gas/Diesel oil</t>
  </si>
  <si>
    <t>Residual Fuel oil</t>
  </si>
  <si>
    <t>Liquified Petroleum Gases</t>
  </si>
  <si>
    <t>Ethane</t>
  </si>
  <si>
    <t>Naphtha</t>
  </si>
  <si>
    <t>Bitumen</t>
  </si>
  <si>
    <t>Lubricants</t>
  </si>
  <si>
    <t>Petroleum coke</t>
  </si>
  <si>
    <t>Refinery feedstocks</t>
  </si>
  <si>
    <t>Refinery Gas</t>
  </si>
  <si>
    <t>Paraffin waxes</t>
  </si>
  <si>
    <t>White Spirit &amp; SBP</t>
  </si>
  <si>
    <t>Other petroleum products</t>
  </si>
  <si>
    <t>Coal and derived products</t>
  </si>
  <si>
    <t>Anthracite</t>
  </si>
  <si>
    <t>Other bituminous coal</t>
  </si>
  <si>
    <t>Sub-bituminous coal</t>
  </si>
  <si>
    <t>Lignite</t>
  </si>
  <si>
    <t>Oil shale and tar sands</t>
  </si>
  <si>
    <t>Brown coal briquettes</t>
  </si>
  <si>
    <t>Patent fuel</t>
  </si>
  <si>
    <t>Coke oven coke / lignite coke / coke breeze</t>
  </si>
  <si>
    <t>Gas coke</t>
  </si>
  <si>
    <t>Coal tar</t>
  </si>
  <si>
    <t>Gas works gas</t>
  </si>
  <si>
    <t>Coke oven gas</t>
  </si>
  <si>
    <t>Blast furnace gas</t>
  </si>
  <si>
    <t>Oxygen steel furnace gas</t>
  </si>
  <si>
    <t>Natural Gas</t>
  </si>
  <si>
    <t xml:space="preserve">Natural Gas </t>
  </si>
  <si>
    <t>Non-biomass waste</t>
  </si>
  <si>
    <t>Municipal wastes (non-biomass fraction)</t>
  </si>
  <si>
    <t>Industrial wastes</t>
  </si>
  <si>
    <t>NA</t>
  </si>
  <si>
    <t>Waste oils</t>
  </si>
  <si>
    <t>Peat</t>
  </si>
  <si>
    <t>Biomass waste</t>
  </si>
  <si>
    <t>Wood/Wood waste</t>
  </si>
  <si>
    <t>Sulphite lyes (Black liqour)</t>
  </si>
  <si>
    <t>Other primary solid biomass fuels</t>
  </si>
  <si>
    <t>Charcoal</t>
  </si>
  <si>
    <t>Biogasoline</t>
  </si>
  <si>
    <t>Biodiesels</t>
  </si>
  <si>
    <t>Other liquid biofuels</t>
  </si>
  <si>
    <t>Sludge gas</t>
  </si>
  <si>
    <t>Other biogas</t>
  </si>
  <si>
    <t>Municipal wastes (biomass fraction)</t>
  </si>
  <si>
    <r>
      <rPr>
        <vertAlign val="superscript"/>
        <sz val="10"/>
        <rFont val="Arial"/>
        <family val="2"/>
      </rPr>
      <t>1</t>
    </r>
    <r>
      <rPr>
        <sz val="10"/>
        <rFont val="Arial"/>
        <family val="2"/>
      </rPr>
      <t xml:space="preserve"> Applies heat content conversion ratio for coal and oil</t>
    </r>
  </si>
  <si>
    <r>
      <rPr>
        <vertAlign val="superscript"/>
        <sz val="10"/>
        <rFont val="Arial"/>
        <family val="2"/>
      </rPr>
      <t>2</t>
    </r>
    <r>
      <rPr>
        <sz val="10"/>
        <rFont val="Arial"/>
        <family val="2"/>
      </rPr>
      <t xml:space="preserve"> Applies heat content conversion ratio for natural gas and manufactured gases</t>
    </r>
  </si>
  <si>
    <r>
      <rPr>
        <vertAlign val="superscript"/>
        <sz val="10"/>
        <rFont val="Arial"/>
        <family val="2"/>
      </rPr>
      <t>3</t>
    </r>
    <r>
      <rPr>
        <sz val="10"/>
        <rFont val="Arial"/>
        <family val="2"/>
      </rPr>
      <t xml:space="preserve"> Carbon content factors, on energy basis, can be derived by dividing the carbon content of a fuel (expressed on a % C by fuel weight basis) by the heating value of that fuel.</t>
    </r>
  </si>
  <si>
    <r>
      <rPr>
        <b/>
        <sz val="10"/>
        <rFont val="Arial"/>
        <family val="2"/>
      </rPr>
      <t>Reference</t>
    </r>
    <r>
      <rPr>
        <sz val="10"/>
        <rFont val="Arial"/>
        <family val="2"/>
      </rPr>
      <t xml:space="preserve">: 2006 IPCC Guidelines for National Greenhouse Gas Inventories. The default IPCC values, originally published on a NCV (LHV) basis, have been converted to a GCV (HHV) basis using a commonly acceptable approximation. LHV is 95% of HHV for coal and oil, and 90% of HHV for natural gas and manufactured gases. A closer analysis is recommended for organizations that can obtain fuel characterists (e.g., moisture content, fraction of hydrogen) in order to properly determine the fuel's relationship between net calorific value and gross calorific value as the default approximation adds uncertainty. Gross calorific (higher heating) values are preferred because they are more closely related to the carbon content of fuels than net calorific (lower heating) values. </t>
    </r>
  </si>
  <si>
    <r>
      <rPr>
        <b/>
        <sz val="10"/>
        <rFont val="Arial"/>
        <family val="2"/>
      </rPr>
      <t>Note</t>
    </r>
    <r>
      <rPr>
        <sz val="10"/>
        <rFont val="Arial"/>
        <family val="2"/>
      </rPr>
      <t xml:space="preserve">: Consult Appendix B of the </t>
    </r>
    <r>
      <rPr>
        <u/>
        <sz val="10"/>
        <rFont val="Arial"/>
        <family val="2"/>
      </rPr>
      <t>Stationary Combustion Guidance</t>
    </r>
    <r>
      <rPr>
        <sz val="10"/>
        <rFont val="Arial"/>
        <family val="2"/>
      </rPr>
      <t xml:space="preserve"> for additional background on HHV and LHV conversion. National GHG inventories can also contain fuel-specific chracterists that may be more appropriate than a generalized approximation. For example, the Japan's 2023 National Inventory Report 1990-2023 contains fuel-specific conversion ratio of NCV to GCV. </t>
    </r>
  </si>
  <si>
    <r>
      <t>Worksheet 2: Calculating CH</t>
    </r>
    <r>
      <rPr>
        <b/>
        <vertAlign val="subscript"/>
        <sz val="12"/>
        <rFont val="Arial"/>
        <family val="2"/>
      </rPr>
      <t>4</t>
    </r>
    <r>
      <rPr>
        <b/>
        <sz val="12"/>
        <rFont val="Arial"/>
        <family val="2"/>
      </rPr>
      <t xml:space="preserve"> and N</t>
    </r>
    <r>
      <rPr>
        <b/>
        <vertAlign val="subscript"/>
        <sz val="12"/>
        <rFont val="Arial"/>
        <family val="2"/>
      </rPr>
      <t>2</t>
    </r>
    <r>
      <rPr>
        <b/>
        <sz val="12"/>
        <rFont val="Arial"/>
        <family val="2"/>
      </rPr>
      <t>O emissions from stationary combustion</t>
    </r>
  </si>
  <si>
    <t>Please refer to Appendix B for default emission factors for a range of fuels</t>
  </si>
  <si>
    <r>
      <t>CH</t>
    </r>
    <r>
      <rPr>
        <vertAlign val="subscript"/>
        <sz val="10"/>
        <rFont val="Arial"/>
        <family val="2"/>
      </rPr>
      <t>4</t>
    </r>
    <r>
      <rPr>
        <sz val="10"/>
        <rFont val="Arial"/>
        <family val="2"/>
      </rPr>
      <t xml:space="preserve"> Emission factor</t>
    </r>
  </si>
  <si>
    <r>
      <t>N</t>
    </r>
    <r>
      <rPr>
        <vertAlign val="subscript"/>
        <sz val="10"/>
        <rFont val="Arial"/>
        <family val="2"/>
      </rPr>
      <t>2</t>
    </r>
    <r>
      <rPr>
        <sz val="10"/>
        <rFont val="Arial"/>
        <family val="2"/>
      </rPr>
      <t>O Emission factor</t>
    </r>
  </si>
  <si>
    <t>Units for 
J</t>
  </si>
  <si>
    <r>
      <t>CH</t>
    </r>
    <r>
      <rPr>
        <vertAlign val="subscript"/>
        <sz val="10"/>
        <rFont val="Arial"/>
        <family val="2"/>
      </rPr>
      <t>4</t>
    </r>
    <r>
      <rPr>
        <sz val="10"/>
        <rFont val="Arial"/>
        <family val="2"/>
      </rPr>
      <t xml:space="preserve"> emissions in kg</t>
    </r>
  </si>
  <si>
    <r>
      <t>N</t>
    </r>
    <r>
      <rPr>
        <vertAlign val="subscript"/>
        <sz val="10"/>
        <rFont val="Arial"/>
        <family val="2"/>
      </rPr>
      <t>2</t>
    </r>
    <r>
      <rPr>
        <sz val="10"/>
        <rFont val="Arial"/>
        <family val="2"/>
      </rPr>
      <t xml:space="preserve">O emissions in kg </t>
    </r>
  </si>
  <si>
    <t>Source (Combustion unit at facility)</t>
  </si>
  <si>
    <t>M = F * H * L</t>
  </si>
  <si>
    <t>N = F * J * L</t>
  </si>
  <si>
    <r>
      <t>kg CH</t>
    </r>
    <r>
      <rPr>
        <vertAlign val="subscript"/>
        <sz val="10"/>
        <rFont val="Arial"/>
        <family val="2"/>
      </rPr>
      <t>4</t>
    </r>
    <r>
      <rPr>
        <sz val="10"/>
        <rFont val="Arial"/>
        <family val="2"/>
      </rPr>
      <t>/GJ</t>
    </r>
  </si>
  <si>
    <r>
      <t>kg N</t>
    </r>
    <r>
      <rPr>
        <vertAlign val="subscript"/>
        <sz val="10"/>
        <rFont val="Arial"/>
        <family val="2"/>
      </rPr>
      <t>2</t>
    </r>
    <r>
      <rPr>
        <sz val="10"/>
        <rFont val="Arial"/>
        <family val="2"/>
      </rPr>
      <t>O/GJ</t>
    </r>
  </si>
  <si>
    <r>
      <t>Note:  Insert rows for additional records.  Number of rows in this table should match number of rows in "Stationary combustion CO</t>
    </r>
    <r>
      <rPr>
        <b/>
        <vertAlign val="subscript"/>
        <sz val="10"/>
        <rFont val="Arial"/>
        <family val="2"/>
      </rPr>
      <t>2</t>
    </r>
    <r>
      <rPr>
        <b/>
        <sz val="10"/>
        <rFont val="Arial"/>
        <family val="2"/>
      </rPr>
      <t>: Worksheet 1" sheet.</t>
    </r>
  </si>
  <si>
    <t>Biomass Fuels</t>
  </si>
  <si>
    <t>Source (Combustion unit / facility)</t>
  </si>
  <si>
    <r>
      <t>Note:  Insert rows for additional records.  Number of rows in this table should match number of rows in "CO</t>
    </r>
    <r>
      <rPr>
        <b/>
        <vertAlign val="subscript"/>
        <sz val="10"/>
        <rFont val="Arial"/>
        <family val="2"/>
      </rPr>
      <t xml:space="preserve">2 </t>
    </r>
    <r>
      <rPr>
        <b/>
        <sz val="10"/>
        <rFont val="Arial"/>
        <family val="2"/>
      </rPr>
      <t>Worksheet 1" sheet.</t>
    </r>
  </si>
  <si>
    <t>TOTAL (kg GHG)</t>
  </si>
  <si>
    <r>
      <t>Appendix B: Default N</t>
    </r>
    <r>
      <rPr>
        <b/>
        <vertAlign val="subscript"/>
        <sz val="12"/>
        <rFont val="Arial"/>
        <family val="2"/>
      </rPr>
      <t>2</t>
    </r>
    <r>
      <rPr>
        <b/>
        <sz val="12"/>
        <rFont val="Arial"/>
        <family val="2"/>
      </rPr>
      <t>O and CH</t>
    </r>
    <r>
      <rPr>
        <b/>
        <vertAlign val="subscript"/>
        <sz val="12"/>
        <rFont val="Arial"/>
        <family val="2"/>
      </rPr>
      <t>4</t>
    </r>
    <r>
      <rPr>
        <b/>
        <sz val="12"/>
        <rFont val="Arial"/>
        <family val="2"/>
      </rPr>
      <t xml:space="preserve">  emission factors</t>
    </r>
  </si>
  <si>
    <r>
      <t>Please note: If you have information on the specific type of combustion technology used please use the CH</t>
    </r>
    <r>
      <rPr>
        <vertAlign val="subscript"/>
        <sz val="12"/>
        <rFont val="Arial"/>
        <family val="2"/>
      </rPr>
      <t>4</t>
    </r>
    <r>
      <rPr>
        <sz val="12"/>
        <rFont val="Arial"/>
        <family val="2"/>
      </rPr>
      <t xml:space="preserve"> and N</t>
    </r>
    <r>
      <rPr>
        <vertAlign val="subscript"/>
        <sz val="12"/>
        <rFont val="Arial"/>
        <family val="2"/>
      </rPr>
      <t>2</t>
    </r>
    <r>
      <rPr>
        <sz val="12"/>
        <rFont val="Arial"/>
        <family val="2"/>
      </rPr>
      <t xml:space="preserve">O emission factors in Table 2. </t>
    </r>
  </si>
  <si>
    <t>Table 1: Tier 1 default values</t>
  </si>
  <si>
    <t>Lower Heating Value (or Net Calorific Value)</t>
  </si>
  <si>
    <t>Higher Heating Value (or Gross Calorific Value)</t>
  </si>
  <si>
    <t>Heating Content</t>
  </si>
  <si>
    <t>kg GHG / TJ fuel</t>
  </si>
  <si>
    <t>kg GHG / metric tonne fuel</t>
  </si>
  <si>
    <t>TJ/Gg</t>
  </si>
  <si>
    <r>
      <t>CH</t>
    </r>
    <r>
      <rPr>
        <vertAlign val="subscript"/>
        <sz val="11"/>
        <rFont val="Arial"/>
        <family val="2"/>
      </rPr>
      <t xml:space="preserve">4 </t>
    </r>
  </si>
  <si>
    <r>
      <t>N</t>
    </r>
    <r>
      <rPr>
        <vertAlign val="subscript"/>
        <sz val="11"/>
        <rFont val="Arial"/>
        <family val="2"/>
      </rPr>
      <t>2</t>
    </r>
    <r>
      <rPr>
        <sz val="11"/>
        <rFont val="Arial"/>
        <family val="2"/>
      </rPr>
      <t xml:space="preserve">O </t>
    </r>
  </si>
  <si>
    <t xml:space="preserve">Non-biomass waste </t>
  </si>
  <si>
    <t>N/A</t>
  </si>
  <si>
    <r>
      <rPr>
        <b/>
        <sz val="10"/>
        <rFont val="Arial"/>
        <family val="2"/>
      </rPr>
      <t>Reference</t>
    </r>
    <r>
      <rPr>
        <sz val="10"/>
        <rFont val="Arial"/>
        <family val="2"/>
      </rPr>
      <t xml:space="preserve">: 2006 IPCC Guidelines for National Greenhouse Gas Inventories. These emission factors are specific to "Manufacturing" operations as opposed to "Institutional" or "Energy" , which are other categories treated by the IPCC. The default IPCC values, originally published on a NCV (LHV) basis, have been converted to a GCV (HHV) basis using a commonly acceptable approximation. LHV is 95% of HHV for coal and oil, and 90% of HHV for natural gas and manufactured gases. A closer analysis is recommended for organizations that can obtain fuel characterists (e.g., moisture content, fraction of hydrogen) in order to properly determine the fuel's relationship between net calorific value and gross calorific value as the default approximation adds uncertainty. Gross calorific (higher heating) values are preferred because they are more closely related to the carbon content of fuels than net calorific (lower heating) values. </t>
    </r>
  </si>
  <si>
    <t xml:space="preserve">Table 2: Tier 3 equipment-specific default values </t>
  </si>
  <si>
    <r>
      <t>When the type of combustion technology is known, the following defaults should be used for N</t>
    </r>
    <r>
      <rPr>
        <vertAlign val="subscript"/>
        <sz val="12"/>
        <rFont val="Arial"/>
        <family val="2"/>
      </rPr>
      <t>2</t>
    </r>
    <r>
      <rPr>
        <sz val="12"/>
        <rFont val="Arial"/>
        <family val="2"/>
      </rPr>
      <t>O and CH</t>
    </r>
    <r>
      <rPr>
        <vertAlign val="subscript"/>
        <sz val="12"/>
        <rFont val="Arial"/>
        <family val="2"/>
      </rPr>
      <t>4</t>
    </r>
    <r>
      <rPr>
        <sz val="12"/>
        <rFont val="Arial"/>
        <family val="2"/>
      </rPr>
      <t>:</t>
    </r>
  </si>
  <si>
    <t>Technology</t>
  </si>
  <si>
    <t>LHV or NCV Basis
(kg GHG/TJ fuel)</t>
  </si>
  <si>
    <t>HHV or GCV Basis 
(kg GHG/TJ fuel)</t>
  </si>
  <si>
    <t>Basic Technology</t>
  </si>
  <si>
    <t>Configuration</t>
  </si>
  <si>
    <r>
      <t>CH</t>
    </r>
    <r>
      <rPr>
        <b/>
        <vertAlign val="subscript"/>
        <sz val="11"/>
        <rFont val="Arial"/>
        <family val="2"/>
      </rPr>
      <t>4</t>
    </r>
  </si>
  <si>
    <r>
      <t>N</t>
    </r>
    <r>
      <rPr>
        <b/>
        <vertAlign val="subscript"/>
        <sz val="11"/>
        <rFont val="Arial"/>
        <family val="2"/>
      </rPr>
      <t>2</t>
    </r>
    <r>
      <rPr>
        <b/>
        <sz val="11"/>
        <rFont val="Arial"/>
        <family val="2"/>
      </rPr>
      <t>O</t>
    </r>
  </si>
  <si>
    <t>Liquid fuels</t>
  </si>
  <si>
    <t>Residual fuel oil/ Shale oil boilers</t>
  </si>
  <si>
    <t>Gas/Diesel oil boilers</t>
  </si>
  <si>
    <t>Large stationary diesel oil engines &gt;600hp (447kW)</t>
  </si>
  <si>
    <t>Liquified Petroleum Gases (LPG) boilers</t>
  </si>
  <si>
    <t>Solid fuels</t>
  </si>
  <si>
    <t>Other bituminous /Sub-bituminous overfeed stoker boilers</t>
  </si>
  <si>
    <t>Other bituminous /Sub-bituminous underfeed stoker boilers</t>
  </si>
  <si>
    <t>Other bituminous/sub-bituminous pulverised</t>
  </si>
  <si>
    <t>Dry bottom, wall fired</t>
  </si>
  <si>
    <t>Dry bottom, tangentially fired</t>
  </si>
  <si>
    <t>Wet bottom</t>
  </si>
  <si>
    <t>Other bituminous spreader stokers</t>
  </si>
  <si>
    <t>Other bituminous/sub-bituminous fluidised bed combustor</t>
  </si>
  <si>
    <t>Circulating bed</t>
  </si>
  <si>
    <t>Bubbling bed</t>
  </si>
  <si>
    <t>Boilers</t>
  </si>
  <si>
    <t>Gas-fired gas turbines &gt;3MW</t>
  </si>
  <si>
    <t>Natural gas-fired reciprocating engines</t>
  </si>
  <si>
    <t>2-Stroke lean burn</t>
  </si>
  <si>
    <t>4-Stroke lean burn</t>
  </si>
  <si>
    <t>4-Stroke rich burn</t>
  </si>
  <si>
    <t>Biomass</t>
  </si>
  <si>
    <t>Wood/wood waste boilers</t>
  </si>
  <si>
    <r>
      <rPr>
        <vertAlign val="superscript"/>
        <sz val="10"/>
        <rFont val="Arial"/>
        <family val="2"/>
      </rPr>
      <t>1</t>
    </r>
    <r>
      <rPr>
        <sz val="10"/>
        <rFont val="Arial"/>
        <family val="2"/>
      </rPr>
      <t xml:space="preserve"> Considered liquid fuel for heat content conversion</t>
    </r>
  </si>
  <si>
    <r>
      <rPr>
        <vertAlign val="superscript"/>
        <sz val="10"/>
        <rFont val="Arial"/>
        <family val="2"/>
      </rPr>
      <t>2</t>
    </r>
    <r>
      <rPr>
        <sz val="10"/>
        <rFont val="Arial"/>
        <family val="2"/>
      </rPr>
      <t xml:space="preserve"> Considered gasous fuel for heat content conversion</t>
    </r>
  </si>
  <si>
    <t xml:space="preserve">Source: 2006 IPCC Guidelines for National Greenhouse Gas Inventories. The default IPCC values, originally published on a NCV (LHV) basis, have been converted to a GCV (HHV) basis using a commonly acceptable approximation. LHV is 95% of HHV for coal and oil, and 90% of HHV for natural gas and manufactured gases. A closer analysis is recommended for organizations that can obtain fuel characterists (e.g., moisture content, hidrogen) in order to properly determine the fuel's relationship between net calorific value and gross calorific value. Gross calorific (higher heating) values are preferred because they are more closely related to the carbon content of fuels than net calorific (lower heating) values. </t>
  </si>
  <si>
    <t>Worksheet 3: Calculating GHG emissions from onsite coke production</t>
  </si>
  <si>
    <t>User entry required</t>
  </si>
  <si>
    <t>Non-editable cells</t>
  </si>
  <si>
    <r>
      <t>CO</t>
    </r>
    <r>
      <rPr>
        <b/>
        <vertAlign val="subscript"/>
        <sz val="12"/>
        <rFont val="Arial"/>
        <family val="2"/>
      </rPr>
      <t>2</t>
    </r>
    <r>
      <rPr>
        <b/>
        <sz val="12"/>
        <rFont val="Arial"/>
        <family val="2"/>
      </rPr>
      <t xml:space="preserve"> emissions</t>
    </r>
  </si>
  <si>
    <t xml:space="preserve">Please note that default values for the carbon contents of process materials are available in Appendix C. </t>
  </si>
  <si>
    <t>Basis of Heating Values (NCV or GCV)</t>
  </si>
  <si>
    <t>Coking coal consumed for coke production and other process materials</t>
  </si>
  <si>
    <t>Blast Furnace gas consumed at facility*</t>
  </si>
  <si>
    <t>Coke produced at facility*</t>
  </si>
  <si>
    <t>Coke oven gas transferred offsite*</t>
  </si>
  <si>
    <t>Coke-oven byproducts transferred offsite*</t>
  </si>
  <si>
    <r>
      <t>CO</t>
    </r>
    <r>
      <rPr>
        <b/>
        <vertAlign val="subscript"/>
        <sz val="10"/>
        <rFont val="Arial"/>
        <family val="2"/>
      </rPr>
      <t>2</t>
    </r>
    <r>
      <rPr>
        <b/>
        <sz val="10"/>
        <rFont val="Arial"/>
        <family val="2"/>
      </rPr>
      <t xml:space="preserve"> emissions (tonnes)</t>
    </r>
  </si>
  <si>
    <t>Facility</t>
  </si>
  <si>
    <t>Amount (tonnes)</t>
  </si>
  <si>
    <t>Carbon content (tonnes C/unit fuel)</t>
  </si>
  <si>
    <t>Amount</t>
  </si>
  <si>
    <t>Unit</t>
  </si>
  <si>
    <t>Carbon content
(tonnes C/ unit gas)</t>
  </si>
  <si>
    <t>Carbon content 
(tonnes C/ unit coke)</t>
  </si>
  <si>
    <t>Carbon content (tonnes C / unit gas)</t>
  </si>
  <si>
    <t>Byproduct</t>
  </si>
  <si>
    <t>Carbon content (tonnes / unit byproduct)</t>
  </si>
  <si>
    <t>Example using defaults:</t>
  </si>
  <si>
    <t>Facility A</t>
  </si>
  <si>
    <t>Tonnes</t>
  </si>
  <si>
    <t>Natural gas</t>
  </si>
  <si>
    <t>Residual fuel oil</t>
  </si>
  <si>
    <t>Fuel Oil</t>
  </si>
  <si>
    <t>Total carbon content (tonnes C/ total fuel)</t>
  </si>
  <si>
    <r>
      <t>Total CO</t>
    </r>
    <r>
      <rPr>
        <b/>
        <vertAlign val="subscript"/>
        <sz val="11"/>
        <rFont val="Arial"/>
        <family val="2"/>
      </rPr>
      <t>2</t>
    </r>
    <r>
      <rPr>
        <b/>
        <sz val="11"/>
        <rFont val="Arial"/>
        <family val="2"/>
      </rPr>
      <t xml:space="preserve"> emissions (tonnes):</t>
    </r>
  </si>
  <si>
    <t>* The units in which the amount and carbon content of any given fuel or other material must be consistent with each other</t>
  </si>
  <si>
    <r>
      <t>CH</t>
    </r>
    <r>
      <rPr>
        <b/>
        <vertAlign val="subscript"/>
        <sz val="12"/>
        <rFont val="Arial"/>
        <family val="2"/>
      </rPr>
      <t xml:space="preserve">4 </t>
    </r>
    <r>
      <rPr>
        <b/>
        <sz val="12"/>
        <rFont val="Arial"/>
        <family val="2"/>
      </rPr>
      <t>emissions</t>
    </r>
  </si>
  <si>
    <t>Amount of coke produced onsite*</t>
  </si>
  <si>
    <r>
      <t>CH</t>
    </r>
    <r>
      <rPr>
        <vertAlign val="subscript"/>
        <sz val="10"/>
        <rFont val="Arial"/>
        <family val="2"/>
      </rPr>
      <t>4</t>
    </r>
    <r>
      <rPr>
        <sz val="10"/>
        <rFont val="Arial"/>
        <family val="2"/>
      </rPr>
      <t xml:space="preserve"> emission factor*</t>
    </r>
    <r>
      <rPr>
        <vertAlign val="superscript"/>
        <sz val="10"/>
        <rFont val="Arial"/>
        <family val="2"/>
      </rPr>
      <t>#</t>
    </r>
    <r>
      <rPr>
        <sz val="10"/>
        <rFont val="Arial"/>
        <family val="2"/>
      </rPr>
      <t xml:space="preserve">                   (g CH</t>
    </r>
    <r>
      <rPr>
        <vertAlign val="subscript"/>
        <sz val="10"/>
        <rFont val="Arial"/>
        <family val="2"/>
      </rPr>
      <t>4</t>
    </r>
    <r>
      <rPr>
        <sz val="10"/>
        <rFont val="Arial"/>
        <family val="2"/>
      </rPr>
      <t xml:space="preserve"> / unit coke)</t>
    </r>
  </si>
  <si>
    <r>
      <t>Total CH</t>
    </r>
    <r>
      <rPr>
        <vertAlign val="subscript"/>
        <sz val="10"/>
        <rFont val="Arial"/>
        <family val="2"/>
      </rPr>
      <t>4</t>
    </r>
    <r>
      <rPr>
        <sz val="10"/>
        <rFont val="Arial"/>
        <family val="2"/>
      </rPr>
      <t xml:space="preserve"> emissions 
(kg</t>
    </r>
    <r>
      <rPr>
        <sz val="10"/>
        <rFont val="Arial"/>
        <family val="2"/>
      </rPr>
      <t>)</t>
    </r>
  </si>
  <si>
    <t>Example using default emission factor</t>
  </si>
  <si>
    <r>
      <t>Total CH</t>
    </r>
    <r>
      <rPr>
        <vertAlign val="subscript"/>
        <sz val="10"/>
        <rFont val="Arial"/>
        <family val="2"/>
      </rPr>
      <t>4</t>
    </r>
    <r>
      <rPr>
        <sz val="10"/>
        <rFont val="Arial"/>
        <family val="2"/>
      </rPr>
      <t xml:space="preserve"> emissions (kg)</t>
    </r>
  </si>
  <si>
    <r>
      <t>* The units in which coke production are expressed must be consistent with those used in the CH</t>
    </r>
    <r>
      <rPr>
        <vertAlign val="subscript"/>
        <sz val="10"/>
        <rFont val="Arial"/>
        <family val="2"/>
      </rPr>
      <t>4</t>
    </r>
    <r>
      <rPr>
        <sz val="10"/>
        <rFont val="Arial"/>
        <family val="2"/>
      </rPr>
      <t xml:space="preserve"> emission factor</t>
    </r>
  </si>
  <si>
    <r>
      <t>#</t>
    </r>
    <r>
      <rPr>
        <sz val="10"/>
        <rFont val="Arial"/>
        <family val="2"/>
      </rPr>
      <t xml:space="preserve"> The default value for the CH4 emission factor for coke production is: 0.1g CH</t>
    </r>
    <r>
      <rPr>
        <vertAlign val="subscript"/>
        <sz val="10"/>
        <rFont val="Arial"/>
        <family val="2"/>
      </rPr>
      <t>4</t>
    </r>
    <r>
      <rPr>
        <sz val="10"/>
        <rFont val="Arial"/>
        <family val="2"/>
      </rPr>
      <t>/metric tonne coke</t>
    </r>
  </si>
  <si>
    <t>Worksheet 4: Calculating GHG emissions from offsite coke production</t>
  </si>
  <si>
    <t>Coke produced offsite*</t>
  </si>
  <si>
    <t>Coke oven gas produced offsite*</t>
  </si>
  <si>
    <t>Coke-oven byproducts produced offsite*</t>
  </si>
  <si>
    <t>Carbon content (tonnes C / unit fuel)</t>
  </si>
  <si>
    <t>Carbon content (tonnes C / unit coke)</t>
  </si>
  <si>
    <t>Carbon content (tonnes C/ unit gas)</t>
  </si>
  <si>
    <r>
      <t>Total CO</t>
    </r>
    <r>
      <rPr>
        <b/>
        <vertAlign val="subscript"/>
        <sz val="10"/>
        <rFont val="Arial"/>
        <family val="2"/>
      </rPr>
      <t>2</t>
    </r>
    <r>
      <rPr>
        <b/>
        <sz val="10"/>
        <rFont val="Arial"/>
        <family val="2"/>
      </rPr>
      <t xml:space="preserve"> emissions (tonnes):</t>
    </r>
  </si>
  <si>
    <r>
      <t>CH</t>
    </r>
    <r>
      <rPr>
        <b/>
        <vertAlign val="subscript"/>
        <sz val="12"/>
        <rFont val="Arial"/>
        <family val="2"/>
      </rPr>
      <t>4</t>
    </r>
    <r>
      <rPr>
        <b/>
        <sz val="12"/>
        <rFont val="Arial"/>
        <family val="2"/>
      </rPr>
      <t xml:space="preserve"> emissions</t>
    </r>
  </si>
  <si>
    <t>Amount of coke produced offsite*</t>
  </si>
  <si>
    <r>
      <t>CH</t>
    </r>
    <r>
      <rPr>
        <vertAlign val="subscript"/>
        <sz val="10"/>
        <rFont val="Arial"/>
        <family val="2"/>
      </rPr>
      <t>4</t>
    </r>
    <r>
      <rPr>
        <sz val="10"/>
        <rFont val="Arial"/>
        <family val="2"/>
      </rPr>
      <t xml:space="preserve"> emission factor*</t>
    </r>
    <r>
      <rPr>
        <vertAlign val="superscript"/>
        <sz val="10"/>
        <rFont val="Arial"/>
        <family val="2"/>
      </rPr>
      <t>#</t>
    </r>
    <r>
      <rPr>
        <sz val="10"/>
        <rFont val="Arial"/>
        <family val="2"/>
      </rPr>
      <t xml:space="preserve"> 
(g CH</t>
    </r>
    <r>
      <rPr>
        <vertAlign val="subscript"/>
        <sz val="10"/>
        <rFont val="Arial"/>
        <family val="2"/>
      </rPr>
      <t>4</t>
    </r>
    <r>
      <rPr>
        <sz val="10"/>
        <rFont val="Arial"/>
        <family val="2"/>
      </rPr>
      <t xml:space="preserve"> / unit coke)</t>
    </r>
  </si>
  <si>
    <r>
      <t>Total CH</t>
    </r>
    <r>
      <rPr>
        <vertAlign val="subscript"/>
        <sz val="10"/>
        <rFont val="Arial"/>
        <family val="2"/>
      </rPr>
      <t>4</t>
    </r>
    <r>
      <rPr>
        <sz val="10"/>
        <rFont val="Arial"/>
        <family val="2"/>
      </rPr>
      <t xml:space="preserve"> emissions  (kg</t>
    </r>
    <r>
      <rPr>
        <sz val="10"/>
        <rFont val="Arial"/>
        <family val="2"/>
      </rPr>
      <t>)</t>
    </r>
  </si>
  <si>
    <r>
      <t>#</t>
    </r>
    <r>
      <rPr>
        <sz val="10"/>
        <rFont val="Arial"/>
        <family val="2"/>
      </rPr>
      <t xml:space="preserve"> The default value for the CH</t>
    </r>
    <r>
      <rPr>
        <vertAlign val="subscript"/>
        <sz val="10"/>
        <rFont val="Arial"/>
        <family val="2"/>
      </rPr>
      <t>4</t>
    </r>
    <r>
      <rPr>
        <sz val="10"/>
        <rFont val="Arial"/>
        <family val="2"/>
      </rPr>
      <t xml:space="preserve"> emission factor for coke production is: 0.1g CH</t>
    </r>
    <r>
      <rPr>
        <vertAlign val="subscript"/>
        <sz val="10"/>
        <rFont val="Arial"/>
        <family val="2"/>
      </rPr>
      <t>4</t>
    </r>
    <r>
      <rPr>
        <sz val="10"/>
        <rFont val="Arial"/>
        <family val="2"/>
      </rPr>
      <t>/metric tonne coke</t>
    </r>
  </si>
  <si>
    <r>
      <t>Worksheet 5: Calculating CO</t>
    </r>
    <r>
      <rPr>
        <b/>
        <vertAlign val="subscript"/>
        <sz val="12"/>
        <rFont val="Arial"/>
        <family val="2"/>
      </rPr>
      <t>2</t>
    </r>
    <r>
      <rPr>
        <b/>
        <sz val="12"/>
        <rFont val="Arial"/>
        <family val="2"/>
      </rPr>
      <t xml:space="preserve"> and CH</t>
    </r>
    <r>
      <rPr>
        <b/>
        <vertAlign val="subscript"/>
        <sz val="12"/>
        <rFont val="Arial"/>
        <family val="2"/>
      </rPr>
      <t>4</t>
    </r>
    <r>
      <rPr>
        <b/>
        <sz val="12"/>
        <rFont val="Arial"/>
        <family val="2"/>
      </rPr>
      <t xml:space="preserve"> emissions from flaring</t>
    </r>
  </si>
  <si>
    <t>Hydrocarbon profile of flared gas</t>
  </si>
  <si>
    <r>
      <t>Amount of CO</t>
    </r>
    <r>
      <rPr>
        <b/>
        <vertAlign val="subscript"/>
        <sz val="10"/>
        <rFont val="Arial"/>
        <family val="2"/>
      </rPr>
      <t xml:space="preserve">2 </t>
    </r>
    <r>
      <rPr>
        <b/>
        <sz val="10"/>
        <rFont val="Arial"/>
        <family val="2"/>
      </rPr>
      <t xml:space="preserve">in flared gas </t>
    </r>
  </si>
  <si>
    <r>
      <t>Flaring combustion efficiency for CO</t>
    </r>
    <r>
      <rPr>
        <b/>
        <vertAlign val="subscript"/>
        <sz val="10"/>
        <rFont val="Arial"/>
        <family val="2"/>
      </rPr>
      <t>2</t>
    </r>
  </si>
  <si>
    <t xml:space="preserve">Uncombusted flared gas </t>
  </si>
  <si>
    <r>
      <t>Amount of methane in the flared gas (lbmoles CH</t>
    </r>
    <r>
      <rPr>
        <b/>
        <vertAlign val="subscript"/>
        <sz val="10"/>
        <rFont val="Arial"/>
        <family val="2"/>
      </rPr>
      <t>4</t>
    </r>
    <r>
      <rPr>
        <b/>
        <sz val="10"/>
        <rFont val="Arial"/>
        <family val="2"/>
      </rPr>
      <t>/lbmole flared gas)</t>
    </r>
  </si>
  <si>
    <r>
      <t>CH</t>
    </r>
    <r>
      <rPr>
        <b/>
        <vertAlign val="subscript"/>
        <sz val="10"/>
        <rFont val="Arial"/>
        <family val="2"/>
      </rPr>
      <t xml:space="preserve">4 </t>
    </r>
    <r>
      <rPr>
        <b/>
        <sz val="10"/>
        <rFont val="Arial"/>
        <family val="2"/>
      </rPr>
      <t>emissions (tonnes)</t>
    </r>
  </si>
  <si>
    <t>Volume gas flared 
(standard cubic feet (scf))</t>
  </si>
  <si>
    <t>Hydrocarbon in flared gas</t>
  </si>
  <si>
    <t>Ratio of weight of hydrocarbon to weight of flared gas (lbmole HC/lbmole flared gas)</t>
  </si>
  <si>
    <t>Ratio of weight of carbon in the hydrocarbon to the weight of hydrocarbon (lbmoles C/lbmole HC)</t>
  </si>
  <si>
    <r>
      <t>Ratio of carbon to the weight of flared gas (lb mole CO</t>
    </r>
    <r>
      <rPr>
        <vertAlign val="subscript"/>
        <sz val="10"/>
        <rFont val="Arial"/>
        <family val="2"/>
      </rPr>
      <t>2</t>
    </r>
    <r>
      <rPr>
        <sz val="10"/>
        <rFont val="Arial"/>
        <family val="2"/>
      </rPr>
      <t>/lbmole flared gas)</t>
    </r>
  </si>
  <si>
    <t>Fraction</t>
  </si>
  <si>
    <r>
      <t>Fraction of released CH</t>
    </r>
    <r>
      <rPr>
        <vertAlign val="subscript"/>
        <sz val="10"/>
        <rFont val="Arial"/>
        <family val="2"/>
      </rPr>
      <t>4</t>
    </r>
  </si>
  <si>
    <t>Example facility</t>
  </si>
  <si>
    <t>CH4</t>
  </si>
  <si>
    <t>C2H6</t>
  </si>
  <si>
    <t>C3H8</t>
  </si>
  <si>
    <t>C4H10</t>
  </si>
  <si>
    <r>
      <t>Total CO</t>
    </r>
    <r>
      <rPr>
        <b/>
        <vertAlign val="subscript"/>
        <sz val="10"/>
        <rFont val="Arial"/>
        <family val="2"/>
      </rPr>
      <t>2</t>
    </r>
    <r>
      <rPr>
        <b/>
        <sz val="10"/>
        <rFont val="Arial"/>
        <family val="2"/>
      </rPr>
      <t xml:space="preserve"> emissions (tonnes)</t>
    </r>
  </si>
  <si>
    <r>
      <t>Total CH</t>
    </r>
    <r>
      <rPr>
        <b/>
        <vertAlign val="subscript"/>
        <sz val="10"/>
        <rFont val="Arial"/>
        <family val="2"/>
      </rPr>
      <t>4</t>
    </r>
    <r>
      <rPr>
        <b/>
        <sz val="10"/>
        <rFont val="Arial"/>
        <family val="2"/>
      </rPr>
      <t xml:space="preserve"> emissions (tonnes)</t>
    </r>
  </si>
  <si>
    <t>Worksheet 6: Calculating GHG emissions from sinter production</t>
  </si>
  <si>
    <t>Please note that default values for the carbon contents of process materials are available in Appendix C. These defaults are expressed on both energy and mass basis.</t>
  </si>
  <si>
    <t>Process material</t>
  </si>
  <si>
    <t>Sinter off gas transferred offsite</t>
  </si>
  <si>
    <t>Material</t>
  </si>
  <si>
    <t>Amount
(tonnes)</t>
  </si>
  <si>
    <t>Carbon content (% weight/weight)</t>
  </si>
  <si>
    <t>Amount 
(tonnes)</t>
  </si>
  <si>
    <t>Carbon content 
(% weight/weight)</t>
  </si>
  <si>
    <t>Example using default values</t>
  </si>
  <si>
    <t>Coke breeze</t>
  </si>
  <si>
    <t>Other</t>
  </si>
  <si>
    <r>
      <t>Total CO</t>
    </r>
    <r>
      <rPr>
        <vertAlign val="subscript"/>
        <sz val="10"/>
        <rFont val="Arial"/>
        <family val="2"/>
      </rPr>
      <t>2</t>
    </r>
    <r>
      <rPr>
        <sz val="10"/>
        <rFont val="Arial"/>
        <family val="2"/>
      </rPr>
      <t xml:space="preserve"> emissions (tonnes):</t>
    </r>
  </si>
  <si>
    <t>Amount of Sinter produced*</t>
  </si>
  <si>
    <r>
      <t>CH</t>
    </r>
    <r>
      <rPr>
        <vertAlign val="subscript"/>
        <sz val="10"/>
        <rFont val="Arial"/>
        <family val="2"/>
      </rPr>
      <t>4</t>
    </r>
    <r>
      <rPr>
        <sz val="10"/>
        <rFont val="Arial"/>
        <family val="2"/>
      </rPr>
      <t xml:space="preserve"> emission factor*</t>
    </r>
    <r>
      <rPr>
        <vertAlign val="superscript"/>
        <sz val="10"/>
        <rFont val="Arial"/>
        <family val="2"/>
      </rPr>
      <t xml:space="preserve"># 
</t>
    </r>
    <r>
      <rPr>
        <sz val="10"/>
        <rFont val="Arial"/>
        <family val="2"/>
      </rPr>
      <t>(kg CH</t>
    </r>
    <r>
      <rPr>
        <vertAlign val="subscript"/>
        <sz val="10"/>
        <rFont val="Arial"/>
        <family val="2"/>
      </rPr>
      <t>4</t>
    </r>
    <r>
      <rPr>
        <sz val="10"/>
        <rFont val="Arial"/>
        <family val="2"/>
      </rPr>
      <t xml:space="preserve"> / unit sinter)</t>
    </r>
  </si>
  <si>
    <r>
      <t>Total CH</t>
    </r>
    <r>
      <rPr>
        <vertAlign val="subscript"/>
        <sz val="10"/>
        <rFont val="Arial"/>
        <family val="2"/>
      </rPr>
      <t>4</t>
    </r>
    <r>
      <rPr>
        <sz val="10"/>
        <rFont val="Arial"/>
        <family val="2"/>
      </rPr>
      <t xml:space="preserve"> emissions 
(kg)</t>
    </r>
  </si>
  <si>
    <r>
      <t>* The units in which the amounts of sinter produced must be consistent with the units in which the CH</t>
    </r>
    <r>
      <rPr>
        <vertAlign val="subscript"/>
        <sz val="10"/>
        <rFont val="Arial"/>
        <family val="2"/>
      </rPr>
      <t>4</t>
    </r>
    <r>
      <rPr>
        <sz val="10"/>
        <rFont val="Arial"/>
        <family val="2"/>
      </rPr>
      <t xml:space="preserve"> emission factors are expressed</t>
    </r>
  </si>
  <si>
    <r>
      <t>#</t>
    </r>
    <r>
      <rPr>
        <sz val="10"/>
        <rFont val="Arial"/>
        <family val="2"/>
      </rPr>
      <t xml:space="preserve"> The 2006 IPCC default value for the CH</t>
    </r>
    <r>
      <rPr>
        <vertAlign val="subscript"/>
        <sz val="10"/>
        <rFont val="Arial"/>
        <family val="2"/>
      </rPr>
      <t>4</t>
    </r>
    <r>
      <rPr>
        <sz val="10"/>
        <rFont val="Arial"/>
        <family val="2"/>
      </rPr>
      <t xml:space="preserve"> emission factor for sinter production is: 0.07kg/metric tonne sinter</t>
    </r>
  </si>
  <si>
    <t>Worksheet 7: Calculating GHG emissions from Direct Reduced Iron (DRI) production</t>
  </si>
  <si>
    <t xml:space="preserve">Natural gas consumption </t>
  </si>
  <si>
    <t>Coke breeze consumption</t>
  </si>
  <si>
    <t>Metallurgical coke consumption</t>
  </si>
  <si>
    <r>
      <t>CO</t>
    </r>
    <r>
      <rPr>
        <vertAlign val="subscript"/>
        <sz val="10"/>
        <rFont val="Arial"/>
        <family val="2"/>
      </rPr>
      <t>2</t>
    </r>
    <r>
      <rPr>
        <sz val="10"/>
        <rFont val="Arial"/>
        <family val="2"/>
      </rPr>
      <t xml:space="preserve"> emissions (tonnes)</t>
    </r>
  </si>
  <si>
    <t>Amount (tonnes)*</t>
  </si>
  <si>
    <t>Carbon content*</t>
  </si>
  <si>
    <t>*The units in which the amount and carbon content of any given fuel or other material must be consistent with each other.</t>
  </si>
  <si>
    <t>Amount of DRI produced*</t>
  </si>
  <si>
    <r>
      <t>CH</t>
    </r>
    <r>
      <rPr>
        <vertAlign val="subscript"/>
        <sz val="10"/>
        <rFont val="Arial"/>
        <family val="2"/>
      </rPr>
      <t>4</t>
    </r>
    <r>
      <rPr>
        <sz val="10"/>
        <rFont val="Arial"/>
        <family val="2"/>
      </rPr>
      <t xml:space="preserve"> emission factor*</t>
    </r>
    <r>
      <rPr>
        <vertAlign val="superscript"/>
        <sz val="10"/>
        <rFont val="Arial"/>
        <family val="2"/>
      </rPr>
      <t>#</t>
    </r>
    <r>
      <rPr>
        <sz val="10"/>
        <rFont val="Arial"/>
        <family val="2"/>
      </rPr>
      <t xml:space="preserve"> (kg/unit DRI)</t>
    </r>
  </si>
  <si>
    <r>
      <t>Total CH</t>
    </r>
    <r>
      <rPr>
        <vertAlign val="subscript"/>
        <sz val="10"/>
        <rFont val="Arial"/>
        <family val="2"/>
      </rPr>
      <t>4</t>
    </r>
    <r>
      <rPr>
        <sz val="10"/>
        <rFont val="Arial"/>
        <family val="2"/>
      </rPr>
      <t xml:space="preserve"> emissions (kg</t>
    </r>
    <r>
      <rPr>
        <sz val="10"/>
        <rFont val="Arial"/>
        <family val="2"/>
      </rPr>
      <t>)</t>
    </r>
  </si>
  <si>
    <r>
      <t>#</t>
    </r>
    <r>
      <rPr>
        <sz val="10"/>
        <rFont val="Arial"/>
        <family val="2"/>
      </rPr>
      <t>The 2006 IPCC default value for the CH</t>
    </r>
    <r>
      <rPr>
        <vertAlign val="subscript"/>
        <sz val="10"/>
        <rFont val="Arial"/>
        <family val="2"/>
      </rPr>
      <t>4</t>
    </r>
    <r>
      <rPr>
        <sz val="10"/>
        <rFont val="Arial"/>
        <family val="2"/>
      </rPr>
      <t xml:space="preserve"> emission factor for DRI production is: 0.048 kg/ metric tonne DRI</t>
    </r>
    <r>
      <rPr>
        <vertAlign val="superscript"/>
        <sz val="10"/>
        <rFont val="Arial"/>
        <family val="2"/>
      </rPr>
      <t xml:space="preserve"> </t>
    </r>
    <r>
      <rPr>
        <sz val="10"/>
        <rFont val="Arial"/>
        <family val="2"/>
      </rPr>
      <t>or: 1kg/TJ DRI</t>
    </r>
  </si>
  <si>
    <t>Both values are on a NCV (LHV) basis.</t>
  </si>
  <si>
    <t>Worksheet 8: Calculating GHG emissions from Iron and Steel production</t>
  </si>
  <si>
    <r>
      <t>CO</t>
    </r>
    <r>
      <rPr>
        <b/>
        <vertAlign val="subscript"/>
        <sz val="12"/>
        <rFont val="Arial"/>
        <family val="2"/>
      </rPr>
      <t>2</t>
    </r>
    <r>
      <rPr>
        <b/>
        <sz val="12"/>
        <rFont val="Arial"/>
        <family val="2"/>
      </rPr>
      <t xml:space="preserve"> emissions from Iron and Steel production</t>
    </r>
  </si>
  <si>
    <t>Please note that default values for the carbon contents of process materials are available in Appendix C.</t>
  </si>
  <si>
    <t>Resource consumed in Iron and steel production</t>
  </si>
  <si>
    <t>Steel produced at facility</t>
  </si>
  <si>
    <t>Iron not converted into steel</t>
  </si>
  <si>
    <t>Blast furnace gas transferred offsite</t>
  </si>
  <si>
    <t>Resource</t>
  </si>
  <si>
    <t>Amount*</t>
  </si>
  <si>
    <t>Coke</t>
  </si>
  <si>
    <t>Coal injected into blast furnace</t>
  </si>
  <si>
    <t>Limestone</t>
  </si>
  <si>
    <t>Dolomite</t>
  </si>
  <si>
    <t>Carbon electrodes</t>
  </si>
  <si>
    <t>Coke oven byproduct A</t>
  </si>
  <si>
    <t>Coke oven byproduct B</t>
  </si>
  <si>
    <r>
      <t>CH</t>
    </r>
    <r>
      <rPr>
        <b/>
        <vertAlign val="subscript"/>
        <sz val="12"/>
        <rFont val="Arial"/>
        <family val="2"/>
      </rPr>
      <t>4</t>
    </r>
    <r>
      <rPr>
        <b/>
        <sz val="12"/>
        <rFont val="Arial"/>
        <family val="2"/>
      </rPr>
      <t xml:space="preserve"> emissions from Pig Iron production</t>
    </r>
  </si>
  <si>
    <t>Amount of Pig Iron produced*</t>
  </si>
  <si>
    <r>
      <t>CH</t>
    </r>
    <r>
      <rPr>
        <vertAlign val="subscript"/>
        <sz val="10"/>
        <rFont val="Arial"/>
        <family val="2"/>
      </rPr>
      <t>4</t>
    </r>
    <r>
      <rPr>
        <sz val="10"/>
        <rFont val="Arial"/>
        <family val="2"/>
      </rPr>
      <t xml:space="preserve"> emission factor* (kg/unit pig iron)</t>
    </r>
  </si>
  <si>
    <t>Example</t>
  </si>
  <si>
    <t>Please note:</t>
  </si>
  <si>
    <r>
      <t>No default CH</t>
    </r>
    <r>
      <rPr>
        <vertAlign val="subscript"/>
        <sz val="10"/>
        <rFont val="Arial"/>
        <family val="2"/>
      </rPr>
      <t>4</t>
    </r>
    <r>
      <rPr>
        <sz val="10"/>
        <rFont val="Arial"/>
        <family val="2"/>
      </rPr>
      <t xml:space="preserve"> emission factor is available for pig iron production. </t>
    </r>
  </si>
  <si>
    <r>
      <t>Facilities need not calculate their CH</t>
    </r>
    <r>
      <rPr>
        <vertAlign val="subscript"/>
        <sz val="10"/>
        <rFont val="Arial"/>
        <family val="2"/>
      </rPr>
      <t>4</t>
    </r>
    <r>
      <rPr>
        <sz val="10"/>
        <rFont val="Arial"/>
        <family val="2"/>
      </rPr>
      <t xml:space="preserve"> emissions from steel production as these are assumed to be negligible.</t>
    </r>
  </si>
  <si>
    <t>Appendix C: Default carbon contents for process materials</t>
  </si>
  <si>
    <t>Carbon content 
(kg C/ kg material)</t>
  </si>
  <si>
    <t>Blast Furnace Gas</t>
  </si>
  <si>
    <r>
      <t>Charcoal</t>
    </r>
    <r>
      <rPr>
        <vertAlign val="superscript"/>
        <sz val="10"/>
        <rFont val="Arial"/>
        <family val="2"/>
      </rPr>
      <t>a</t>
    </r>
  </si>
  <si>
    <r>
      <t>Coal</t>
    </r>
    <r>
      <rPr>
        <vertAlign val="superscript"/>
        <sz val="10"/>
        <rFont val="Arial"/>
        <family val="2"/>
      </rPr>
      <t>1</t>
    </r>
  </si>
  <si>
    <t>Coke Oven gas</t>
  </si>
  <si>
    <t>Coking Coal</t>
  </si>
  <si>
    <t>Direct reduced Iron (DRI)</t>
  </si>
  <si>
    <r>
      <t>EAF Carbon Electrodes</t>
    </r>
    <r>
      <rPr>
        <vertAlign val="superscript"/>
        <sz val="10"/>
        <rFont val="Arial"/>
        <family val="2"/>
      </rPr>
      <t>2</t>
    </r>
  </si>
  <si>
    <r>
      <t>EAF Charge Carbon</t>
    </r>
    <r>
      <rPr>
        <vertAlign val="superscript"/>
        <sz val="10"/>
        <rFont val="Arial"/>
        <family val="2"/>
      </rPr>
      <t>3</t>
    </r>
  </si>
  <si>
    <r>
      <t>Fuel Oil</t>
    </r>
    <r>
      <rPr>
        <vertAlign val="superscript"/>
        <sz val="10"/>
        <rFont val="Arial"/>
        <family val="2"/>
      </rPr>
      <t>4</t>
    </r>
  </si>
  <si>
    <t>Gas Coke</t>
  </si>
  <si>
    <t>Hot Briquetted iron</t>
  </si>
  <si>
    <t>Oxygen Steel Furnace Gas</t>
  </si>
  <si>
    <t>Petroleum Coke</t>
  </si>
  <si>
    <t>Purchased pig Iron</t>
  </si>
  <si>
    <t>Scrap Iron</t>
  </si>
  <si>
    <t>Steel</t>
  </si>
  <si>
    <t>* Default values are consistent with those provided in the IPCC 2006 Guidelines (Volume 2) and have been calculated with the following assumptions:</t>
  </si>
  <si>
    <r>
      <t>1</t>
    </r>
    <r>
      <rPr>
        <sz val="10"/>
        <rFont val="Times New Roman"/>
        <family val="1"/>
      </rPr>
      <t xml:space="preserve"> Assumed other bituminous coal</t>
    </r>
  </si>
  <si>
    <r>
      <t>2</t>
    </r>
    <r>
      <rPr>
        <sz val="10"/>
        <rFont val="Times New Roman"/>
        <family val="1"/>
      </rPr>
      <t xml:space="preserve"> Assumed 80% petroleum coke and 20% coal tar</t>
    </r>
  </si>
  <si>
    <r>
      <t>3</t>
    </r>
    <r>
      <rPr>
        <sz val="10"/>
        <rFont val="Times New Roman"/>
        <family val="1"/>
      </rPr>
      <t xml:space="preserve"> Assumed coke oven gas</t>
    </r>
  </si>
  <si>
    <r>
      <t>4</t>
    </r>
    <r>
      <rPr>
        <sz val="10"/>
        <rFont val="Times New Roman"/>
        <family val="1"/>
      </rPr>
      <t xml:space="preserve"> Assumed gas/diesel fuel </t>
    </r>
  </si>
  <si>
    <r>
      <t>a</t>
    </r>
    <r>
      <rPr>
        <sz val="10"/>
        <rFont val="Times New Roman"/>
        <family val="1"/>
      </rPr>
      <t xml:space="preserve"> The CO2 emissions from charcoal can be calculated using this carbon content value, but are reported as zero for the purposes of corporate inventories.</t>
    </r>
  </si>
  <si>
    <r>
      <t>Worksheet 9: Calculating CO</t>
    </r>
    <r>
      <rPr>
        <b/>
        <vertAlign val="subscript"/>
        <sz val="12"/>
        <rFont val="Arial"/>
        <family val="2"/>
      </rPr>
      <t>2</t>
    </r>
    <r>
      <rPr>
        <b/>
        <sz val="12"/>
        <rFont val="Arial"/>
        <family val="2"/>
      </rPr>
      <t xml:space="preserve"> emissions from onsite lime production</t>
    </r>
  </si>
  <si>
    <t>This spreadsheet should be used to calculate the emissions from onsite lime production. If plants do not have sufficient data to allow the use of this method</t>
  </si>
  <si>
    <t>they should use Worksheet 10 instead.</t>
  </si>
  <si>
    <t>Please note that default values are listed at the bottom of this page</t>
  </si>
  <si>
    <t>Carbonate Properties</t>
  </si>
  <si>
    <t>Lime Kiln Dust (LKD) Properties</t>
  </si>
  <si>
    <r>
      <t xml:space="preserve">Carbonate </t>
    </r>
    <r>
      <rPr>
        <i/>
        <sz val="9"/>
        <color theme="3" tint="0.249977111117893"/>
        <rFont val="Arial"/>
        <family val="2"/>
      </rPr>
      <t>(select from dropdown list)</t>
    </r>
  </si>
  <si>
    <t>Carbonate-specific emission factor</t>
  </si>
  <si>
    <t>Amount of carbonate used (tonnes)</t>
  </si>
  <si>
    <t>Fraction calcination achieved for carbonate (fraction)</t>
  </si>
  <si>
    <t>Amount of LKD (tonnes)</t>
  </si>
  <si>
    <t>Weight fraction of original carbonate in the LKD (fraction)</t>
  </si>
  <si>
    <t>Fraction calcination achieved for LKD (fraction)</t>
  </si>
  <si>
    <r>
      <t>CO</t>
    </r>
    <r>
      <rPr>
        <vertAlign val="subscript"/>
        <sz val="10"/>
        <rFont val="Arial"/>
        <family val="2"/>
      </rPr>
      <t xml:space="preserve">2 </t>
    </r>
    <r>
      <rPr>
        <sz val="10"/>
        <rFont val="Arial"/>
        <family val="2"/>
      </rPr>
      <t>emissions (tonnes)</t>
    </r>
  </si>
  <si>
    <t>Unit I</t>
  </si>
  <si>
    <r>
      <t>CaCO</t>
    </r>
    <r>
      <rPr>
        <vertAlign val="subscript"/>
        <sz val="10"/>
        <rFont val="Arial"/>
        <family val="2"/>
      </rPr>
      <t>3</t>
    </r>
  </si>
  <si>
    <t>Total:</t>
  </si>
  <si>
    <t>Default Values*</t>
  </si>
  <si>
    <t>Fraction calcination achieved for carbonate: 1.0</t>
  </si>
  <si>
    <t>Fraction calcination achieved for LKD 1.0</t>
  </si>
  <si>
    <r>
      <t>Weight fraction of original carbonate in the LKD: default derived as fraction of the raw material feed that was comprised of CaCO</t>
    </r>
    <r>
      <rPr>
        <vertAlign val="subscript"/>
        <sz val="10"/>
        <rFont val="Arial"/>
        <family val="2"/>
      </rPr>
      <t>3</t>
    </r>
  </si>
  <si>
    <t>The default values for carbonate-specific emission factors are as follows:</t>
  </si>
  <si>
    <t>Carbonate</t>
  </si>
  <si>
    <t>Mineral name(s)</t>
  </si>
  <si>
    <t>Formula weight</t>
  </si>
  <si>
    <r>
      <t>Emission factor (tonnes CO</t>
    </r>
    <r>
      <rPr>
        <vertAlign val="subscript"/>
        <sz val="10"/>
        <rFont val="Arial"/>
        <family val="2"/>
      </rPr>
      <t>2</t>
    </r>
    <r>
      <rPr>
        <sz val="10"/>
        <rFont val="Arial"/>
        <family val="2"/>
      </rPr>
      <t>/ tonne carbonate)</t>
    </r>
  </si>
  <si>
    <t>Calcite or aragonite</t>
  </si>
  <si>
    <r>
      <t>MgCO</t>
    </r>
    <r>
      <rPr>
        <vertAlign val="subscript"/>
        <sz val="10"/>
        <rFont val="Arial"/>
        <family val="2"/>
      </rPr>
      <t>3</t>
    </r>
  </si>
  <si>
    <t>Magnesite</t>
  </si>
  <si>
    <r>
      <t>CaMg(CO</t>
    </r>
    <r>
      <rPr>
        <vertAlign val="subscript"/>
        <sz val="10"/>
        <rFont val="Arial"/>
        <family val="2"/>
      </rPr>
      <t>3</t>
    </r>
    <r>
      <rPr>
        <sz val="10"/>
        <rFont val="Arial"/>
        <family val="2"/>
      </rPr>
      <t>)</t>
    </r>
    <r>
      <rPr>
        <vertAlign val="subscript"/>
        <sz val="10"/>
        <rFont val="Arial"/>
        <family val="2"/>
      </rPr>
      <t>2</t>
    </r>
  </si>
  <si>
    <r>
      <t>FeCO</t>
    </r>
    <r>
      <rPr>
        <vertAlign val="subscript"/>
        <sz val="10"/>
        <rFont val="Arial"/>
        <family val="2"/>
      </rPr>
      <t>3</t>
    </r>
  </si>
  <si>
    <t>Siderite</t>
  </si>
  <si>
    <r>
      <t>Ca(Fe,Mg,Mn)(CO</t>
    </r>
    <r>
      <rPr>
        <vertAlign val="subscript"/>
        <sz val="10"/>
        <rFont val="Arial"/>
        <family val="2"/>
      </rPr>
      <t>3</t>
    </r>
    <r>
      <rPr>
        <sz val="10"/>
        <rFont val="Arial"/>
        <family val="2"/>
      </rPr>
      <t>)</t>
    </r>
    <r>
      <rPr>
        <vertAlign val="subscript"/>
        <sz val="10"/>
        <rFont val="Arial"/>
        <family val="2"/>
      </rPr>
      <t>2</t>
    </r>
  </si>
  <si>
    <t>Ankerite</t>
  </si>
  <si>
    <t>185.0225 - 215.6160</t>
  </si>
  <si>
    <t>0.40 - 0.48</t>
  </si>
  <si>
    <r>
      <t>Na</t>
    </r>
    <r>
      <rPr>
        <vertAlign val="subscript"/>
        <sz val="10"/>
        <rFont val="Arial"/>
        <family val="2"/>
      </rPr>
      <t>2</t>
    </r>
    <r>
      <rPr>
        <sz val="10"/>
        <rFont val="Arial"/>
        <family val="2"/>
      </rPr>
      <t>CO</t>
    </r>
    <r>
      <rPr>
        <vertAlign val="subscript"/>
        <sz val="10"/>
        <rFont val="Arial"/>
        <family val="2"/>
      </rPr>
      <t>3</t>
    </r>
  </si>
  <si>
    <t>Rhodochrosite</t>
  </si>
  <si>
    <r>
      <t>MnCO</t>
    </r>
    <r>
      <rPr>
        <vertAlign val="subscript"/>
        <sz val="10"/>
        <rFont val="Arial"/>
        <family val="2"/>
      </rPr>
      <t>3</t>
    </r>
  </si>
  <si>
    <t>Sodium carbonate or soda ash</t>
  </si>
  <si>
    <t>*, Source: IPCC 2006. Volume 3, Chapter 2.</t>
  </si>
  <si>
    <r>
      <t>Worksheet 10: Calculating CO</t>
    </r>
    <r>
      <rPr>
        <b/>
        <vertAlign val="subscript"/>
        <sz val="12"/>
        <rFont val="Arial"/>
        <family val="2"/>
      </rPr>
      <t>2</t>
    </r>
    <r>
      <rPr>
        <b/>
        <sz val="12"/>
        <rFont val="Arial"/>
        <family val="2"/>
      </rPr>
      <t xml:space="preserve"> emissions from offsite lime production</t>
    </r>
  </si>
  <si>
    <t>This spreadsheet should be used to calculate the emissions associated with lime that is produced offsite from the Iron and Steel production plant.</t>
  </si>
  <si>
    <t>It may alternatively be used to estimate the CO2 emissions from onsite lime production, but only when insufficient data exists to allow the use of the onsite-specific method (Worksheet 9)</t>
  </si>
  <si>
    <t>Lime properties</t>
  </si>
  <si>
    <t>Correction for hydrated lime</t>
  </si>
  <si>
    <r>
      <t xml:space="preserve">Lime type </t>
    </r>
    <r>
      <rPr>
        <i/>
        <sz val="10"/>
        <color theme="3" tint="0.249977111117893"/>
        <rFont val="Arial"/>
        <family val="2"/>
      </rPr>
      <t>(select from dropdown list)</t>
    </r>
  </si>
  <si>
    <t>Amount produced (tonnes)</t>
  </si>
  <si>
    <r>
      <t>CaO / CaO</t>
    </r>
    <r>
      <rPr>
        <sz val="10"/>
        <rFont val="Times New Roman"/>
        <family val="1"/>
      </rPr>
      <t>∙</t>
    </r>
    <r>
      <rPr>
        <sz val="10"/>
        <rFont val="Arial"/>
        <family val="2"/>
      </rPr>
      <t>MgO content (fraction)</t>
    </r>
  </si>
  <si>
    <t>Stoichiometric ratio (fraction)</t>
  </si>
  <si>
    <t>Proportion of hydrated lime produced (fraction)</t>
  </si>
  <si>
    <t>Water content of hydrated lime (fraction)</t>
  </si>
  <si>
    <t>Correction for Lime Kiln Dust (LKD)*</t>
  </si>
  <si>
    <t>Example:</t>
  </si>
  <si>
    <t>High calcium lime</t>
  </si>
  <si>
    <r>
      <t>Total CO</t>
    </r>
    <r>
      <rPr>
        <vertAlign val="subscript"/>
        <sz val="10"/>
        <rFont val="Arial"/>
        <family val="2"/>
      </rPr>
      <t xml:space="preserve">2 </t>
    </r>
    <r>
      <rPr>
        <sz val="10"/>
        <rFont val="Arial"/>
        <family val="2"/>
      </rPr>
      <t>emissions (tonnes):</t>
    </r>
  </si>
  <si>
    <t>*Custom LKD correction factors can be calculated using the calculator in Tab 'Appendix D'</t>
  </si>
  <si>
    <t>Proportion of hydrated lime: 0.1</t>
  </si>
  <si>
    <t>Water content of hydrated lime: 0.28</t>
  </si>
  <si>
    <t>Lime Kiln Dust (LKD) correction factor: 1.02</t>
  </si>
  <si>
    <r>
      <t>The default values for the stoichiometric ratio and the CaO/CaO</t>
    </r>
    <r>
      <rPr>
        <sz val="10"/>
        <rFont val="Times New Roman"/>
        <family val="1"/>
      </rPr>
      <t>∙</t>
    </r>
    <r>
      <rPr>
        <sz val="10"/>
        <rFont val="Arial"/>
        <family val="2"/>
      </rPr>
      <t>MgO content are lime-type specific and are as follows:</t>
    </r>
  </si>
  <si>
    <t>Lime type</t>
  </si>
  <si>
    <t>Range of CaO content (%)</t>
  </si>
  <si>
    <t>Range of MgO content (%)</t>
  </si>
  <si>
    <r>
      <t>Default Value for CaO / Cao</t>
    </r>
    <r>
      <rPr>
        <sz val="10"/>
        <rFont val="Times New Roman"/>
        <family val="1"/>
      </rPr>
      <t>·</t>
    </r>
    <r>
      <rPr>
        <sz val="10"/>
        <rFont val="Arial"/>
        <family val="2"/>
      </rPr>
      <t xml:space="preserve">MgO content (fraction) </t>
    </r>
  </si>
  <si>
    <t>High-calcium lime</t>
  </si>
  <si>
    <t>93-98</t>
  </si>
  <si>
    <t>0.3-2.5</t>
  </si>
  <si>
    <t>Dolomitic lime</t>
  </si>
  <si>
    <t>55-57</t>
  </si>
  <si>
    <t>38-41</t>
  </si>
  <si>
    <t>0.95 (developed countries)</t>
  </si>
  <si>
    <t>0.85 (developing countries)</t>
  </si>
  <si>
    <t>Hydraulic lime</t>
  </si>
  <si>
    <t>65-92</t>
  </si>
  <si>
    <t>Please note that custom values for the LKD correction factor can be calculated in the tab (Appendix D)</t>
  </si>
  <si>
    <t>Appendix D: Deriving custom Lime Kiln Dust (LKD) factors</t>
  </si>
  <si>
    <r>
      <t>These factors are to be used with Approach 1 (Offsite lime CO</t>
    </r>
    <r>
      <rPr>
        <vertAlign val="subscript"/>
        <sz val="10"/>
        <rFont val="Arial"/>
        <family val="2"/>
      </rPr>
      <t>2</t>
    </r>
    <r>
      <rPr>
        <sz val="10"/>
        <rFont val="Arial"/>
        <family val="2"/>
      </rPr>
      <t>) with lime production data.</t>
    </r>
  </si>
  <si>
    <t>Weight of LKD not recycled to the kiln (tonnes)</t>
  </si>
  <si>
    <t>Weight of lime produced (by type) (tonnes)</t>
  </si>
  <si>
    <t xml:space="preserve">Fraction of the original carbonate in the LKD (i.e., before calcination) (fraction) </t>
  </si>
  <si>
    <t>Fraction calcination of the original carbonate in the LKD (fraction)</t>
  </si>
  <si>
    <t>Custom LKD correction factor</t>
  </si>
  <si>
    <t>Summary of calculated emissions</t>
  </si>
  <si>
    <t>This sheet summarises the calculated emissions from across the various components of the Iron and Steel manufacturing process.</t>
  </si>
  <si>
    <t>Global Warming Potential (100-year horizon), IPCC Sixth Assessment Report, 2021 (AR6)</t>
  </si>
  <si>
    <r>
      <t>CH</t>
    </r>
    <r>
      <rPr>
        <vertAlign val="subscript"/>
        <sz val="10"/>
        <rFont val="Arial"/>
        <family val="2"/>
      </rPr>
      <t>4</t>
    </r>
    <r>
      <rPr>
        <sz val="10"/>
        <rFont val="Arial"/>
        <family val="2"/>
      </rPr>
      <t xml:space="preserve"> 
(fossil – combustion &amp; non fossil)</t>
    </r>
  </si>
  <si>
    <r>
      <t>CH</t>
    </r>
    <r>
      <rPr>
        <vertAlign val="subscript"/>
        <sz val="10"/>
        <rFont val="Arial"/>
        <family val="2"/>
      </rPr>
      <t>4</t>
    </r>
    <r>
      <rPr>
        <sz val="10"/>
        <rFont val="Arial"/>
        <family val="2"/>
      </rPr>
      <t xml:space="preserve"> 
(fossil – fugitive &amp; process)</t>
    </r>
  </si>
  <si>
    <r>
      <t>N</t>
    </r>
    <r>
      <rPr>
        <vertAlign val="subscript"/>
        <sz val="10"/>
        <rFont val="Arial"/>
        <family val="2"/>
      </rPr>
      <t>2</t>
    </r>
    <r>
      <rPr>
        <sz val="10"/>
        <rFont val="Arial"/>
        <family val="2"/>
      </rPr>
      <t>O</t>
    </r>
  </si>
  <si>
    <t>Component</t>
  </si>
  <si>
    <r>
      <t>GHG emissions (metric tonne CO</t>
    </r>
    <r>
      <rPr>
        <b/>
        <vertAlign val="subscript"/>
        <sz val="10"/>
        <rFont val="Arial"/>
        <family val="2"/>
      </rPr>
      <t>2</t>
    </r>
    <r>
      <rPr>
        <b/>
        <sz val="10"/>
        <rFont val="Arial"/>
        <family val="2"/>
      </rPr>
      <t>e)</t>
    </r>
  </si>
  <si>
    <r>
      <t>CO</t>
    </r>
    <r>
      <rPr>
        <vertAlign val="subscript"/>
        <sz val="10"/>
        <rFont val="Arial"/>
        <family val="2"/>
      </rPr>
      <t>2</t>
    </r>
    <r>
      <rPr>
        <sz val="10"/>
        <rFont val="Arial"/>
        <family val="2"/>
      </rPr>
      <t xml:space="preserve"> (fossil)</t>
    </r>
  </si>
  <si>
    <r>
      <t>CO</t>
    </r>
    <r>
      <rPr>
        <vertAlign val="subscript"/>
        <sz val="10"/>
        <rFont val="Arial"/>
        <family val="2"/>
      </rPr>
      <t>2</t>
    </r>
    <r>
      <rPr>
        <sz val="10"/>
        <rFont val="Arial"/>
        <family val="2"/>
      </rPr>
      <t xml:space="preserve"> (biogenic)</t>
    </r>
  </si>
  <si>
    <r>
      <t>CH</t>
    </r>
    <r>
      <rPr>
        <vertAlign val="subscript"/>
        <sz val="10"/>
        <rFont val="Arial"/>
        <family val="2"/>
      </rPr>
      <t xml:space="preserve">4 
</t>
    </r>
    <r>
      <rPr>
        <sz val="10"/>
        <rFont val="Arial"/>
        <family val="2"/>
      </rPr>
      <t>(fossil – fugitive &amp; process)</t>
    </r>
  </si>
  <si>
    <t>Total anthropogenic emissions from component</t>
  </si>
  <si>
    <r>
      <t>Total biogenic CO</t>
    </r>
    <r>
      <rPr>
        <vertAlign val="subscript"/>
        <sz val="10"/>
        <rFont val="Arial"/>
        <family val="2"/>
      </rPr>
      <t>2</t>
    </r>
    <r>
      <rPr>
        <sz val="10"/>
        <rFont val="Arial"/>
        <family val="2"/>
      </rPr>
      <t xml:space="preserve"> emissions from component</t>
    </r>
  </si>
  <si>
    <t>Stationary combustion</t>
  </si>
  <si>
    <t>Onsite coke production</t>
  </si>
  <si>
    <t>Offsite coke production</t>
  </si>
  <si>
    <t>Flaring</t>
  </si>
  <si>
    <t>Sinter production</t>
  </si>
  <si>
    <t>DRI production</t>
  </si>
  <si>
    <t>Iron and Steel production</t>
  </si>
  <si>
    <t>Onsite lime production</t>
  </si>
  <si>
    <t>Offsite lime production</t>
  </si>
  <si>
    <t>Total across emission sources:</t>
  </si>
  <si>
    <t xml:space="preserve">The following tables contain conversion factors for a variety of units. Start units are located in the left column, while end units are located in the upper header row. Convert the start unit to the end unit by multiplying it by the value located within the intersecting cell. These tables were adapted from the UK DEFRA Conversion Factors: https://www.gov.uk/government/publications/greenhouse-gas-reporting-conversion-factors-2023.Table 5 provides a list of common abbreviations used in GHG accounting. Table 6 provides a summary of SI prefixes. </t>
  </si>
  <si>
    <t>Table 1. Energy Conversions</t>
  </si>
  <si>
    <t>Units</t>
  </si>
  <si>
    <t>kWh</t>
  </si>
  <si>
    <t>MWh</t>
  </si>
  <si>
    <t>GWh</t>
  </si>
  <si>
    <t>Btu</t>
  </si>
  <si>
    <t>therm</t>
  </si>
  <si>
    <t>Table 2. Volume Conversions</t>
  </si>
  <si>
    <r>
      <t>m</t>
    </r>
    <r>
      <rPr>
        <b/>
        <vertAlign val="superscript"/>
        <sz val="9"/>
        <color theme="1"/>
        <rFont val="Arial"/>
        <family val="2"/>
      </rPr>
      <t>3</t>
    </r>
  </si>
  <si>
    <t>cu ft</t>
  </si>
  <si>
    <t>UK gal</t>
  </si>
  <si>
    <t>US gal</t>
  </si>
  <si>
    <t>bbl</t>
  </si>
  <si>
    <t>Table 3. Weight/Mass Conversions</t>
  </si>
  <si>
    <t>g</t>
  </si>
  <si>
    <t>mt</t>
  </si>
  <si>
    <t>UK ton</t>
  </si>
  <si>
    <t>US ton</t>
  </si>
  <si>
    <t>lb</t>
  </si>
  <si>
    <t>Table 4. Length/Distance Conversions</t>
  </si>
  <si>
    <t>m</t>
  </si>
  <si>
    <t>ft</t>
  </si>
  <si>
    <t>in</t>
  </si>
  <si>
    <t>cm</t>
  </si>
  <si>
    <t>yd</t>
  </si>
  <si>
    <t>mi</t>
  </si>
  <si>
    <t>km</t>
  </si>
  <si>
    <t>nmi</t>
  </si>
  <si>
    <t>Table 5. Abbreviations</t>
  </si>
  <si>
    <t>Table 6. SI Prefixes</t>
  </si>
  <si>
    <t>Abbreviation</t>
  </si>
  <si>
    <t>Meaning</t>
  </si>
  <si>
    <t>Number</t>
  </si>
  <si>
    <t>Factor</t>
  </si>
  <si>
    <t>Symbol</t>
  </si>
  <si>
    <t xml:space="preserve">barrel (U.S. petroleum) </t>
  </si>
  <si>
    <t>tera</t>
  </si>
  <si>
    <r>
      <t>10</t>
    </r>
    <r>
      <rPr>
        <vertAlign val="superscript"/>
        <sz val="9"/>
        <rFont val="Arial"/>
        <family val="2"/>
      </rPr>
      <t>12</t>
    </r>
  </si>
  <si>
    <t>T</t>
  </si>
  <si>
    <t>British thermal units</t>
  </si>
  <si>
    <t>giga</t>
  </si>
  <si>
    <r>
      <t>10</t>
    </r>
    <r>
      <rPr>
        <vertAlign val="superscript"/>
        <sz val="9"/>
        <rFont val="Arial"/>
        <family val="2"/>
      </rPr>
      <t>9</t>
    </r>
  </si>
  <si>
    <t>CEU</t>
  </si>
  <si>
    <t>Car equivalent unit</t>
  </si>
  <si>
    <t>mega</t>
  </si>
  <si>
    <r>
      <t>10</t>
    </r>
    <r>
      <rPr>
        <vertAlign val="superscript"/>
        <sz val="9"/>
        <rFont val="Arial"/>
        <family val="2"/>
      </rPr>
      <t>6</t>
    </r>
  </si>
  <si>
    <t>centimeters</t>
  </si>
  <si>
    <t>kilo</t>
  </si>
  <si>
    <r>
      <t>10</t>
    </r>
    <r>
      <rPr>
        <vertAlign val="superscript"/>
        <sz val="9"/>
        <rFont val="Arial"/>
        <family val="2"/>
      </rPr>
      <t>3</t>
    </r>
  </si>
  <si>
    <t>k</t>
  </si>
  <si>
    <t>cubic feet</t>
  </si>
  <si>
    <t>hecto</t>
  </si>
  <si>
    <r>
      <t>10</t>
    </r>
    <r>
      <rPr>
        <vertAlign val="superscript"/>
        <sz val="9"/>
        <rFont val="Arial"/>
        <family val="2"/>
      </rPr>
      <t>2</t>
    </r>
  </si>
  <si>
    <t>h</t>
  </si>
  <si>
    <t>dwt</t>
  </si>
  <si>
    <t xml:space="preserve">deadweight tonnage </t>
  </si>
  <si>
    <t>deca</t>
  </si>
  <si>
    <r>
      <t>10</t>
    </r>
    <r>
      <rPr>
        <vertAlign val="superscript"/>
        <sz val="9"/>
        <rFont val="Arial"/>
        <family val="2"/>
      </rPr>
      <t>1</t>
    </r>
  </si>
  <si>
    <t>da</t>
  </si>
  <si>
    <t>feet</t>
  </si>
  <si>
    <t>deci</t>
  </si>
  <si>
    <r>
      <t>10</t>
    </r>
    <r>
      <rPr>
        <vertAlign val="superscript"/>
        <sz val="9"/>
        <rFont val="Arial"/>
        <family val="2"/>
      </rPr>
      <t>-1</t>
    </r>
  </si>
  <si>
    <t>d</t>
  </si>
  <si>
    <t>grams</t>
  </si>
  <si>
    <t>centi</t>
  </si>
  <si>
    <r>
      <t>10</t>
    </r>
    <r>
      <rPr>
        <vertAlign val="superscript"/>
        <sz val="9"/>
        <rFont val="Arial"/>
        <family val="2"/>
      </rPr>
      <t>-2</t>
    </r>
  </si>
  <si>
    <t>c</t>
  </si>
  <si>
    <t>Gg</t>
  </si>
  <si>
    <t xml:space="preserve">Gigagrams </t>
  </si>
  <si>
    <t>milli</t>
  </si>
  <si>
    <r>
      <t>10</t>
    </r>
    <r>
      <rPr>
        <vertAlign val="superscript"/>
        <sz val="9"/>
        <rFont val="Arial"/>
        <family val="2"/>
      </rPr>
      <t>-3</t>
    </r>
  </si>
  <si>
    <t>Gigajoule</t>
  </si>
  <si>
    <t>micro</t>
  </si>
  <si>
    <r>
      <t>10</t>
    </r>
    <r>
      <rPr>
        <vertAlign val="superscript"/>
        <sz val="9"/>
        <rFont val="Arial"/>
        <family val="2"/>
      </rPr>
      <t>-6</t>
    </r>
  </si>
  <si>
    <t>Gigawatt hours</t>
  </si>
  <si>
    <t>nano</t>
  </si>
  <si>
    <r>
      <t>10</t>
    </r>
    <r>
      <rPr>
        <vertAlign val="superscript"/>
        <sz val="9"/>
        <rFont val="Arial"/>
        <family val="2"/>
      </rPr>
      <t>-9</t>
    </r>
  </si>
  <si>
    <t>n</t>
  </si>
  <si>
    <t>GCV</t>
  </si>
  <si>
    <t>Gross calorific value</t>
  </si>
  <si>
    <t>pico</t>
  </si>
  <si>
    <r>
      <t>10</t>
    </r>
    <r>
      <rPr>
        <vertAlign val="superscript"/>
        <sz val="9"/>
        <rFont val="Arial"/>
        <family val="2"/>
      </rPr>
      <t>-12</t>
    </r>
  </si>
  <si>
    <t>p</t>
  </si>
  <si>
    <t>HGV</t>
  </si>
  <si>
    <t>Heavy goods vehicle</t>
  </si>
  <si>
    <t>HHV</t>
  </si>
  <si>
    <t>Higher heating value</t>
  </si>
  <si>
    <t>inch</t>
  </si>
  <si>
    <t>kilograms</t>
  </si>
  <si>
    <t>kilometers</t>
  </si>
  <si>
    <t>kilowatt hour</t>
  </si>
  <si>
    <t>litres</t>
  </si>
  <si>
    <t>pound</t>
  </si>
  <si>
    <t>LHV</t>
  </si>
  <si>
    <t>Lower heating value</t>
  </si>
  <si>
    <t>meter</t>
  </si>
  <si>
    <r>
      <t>m</t>
    </r>
    <r>
      <rPr>
        <vertAlign val="superscript"/>
        <sz val="9"/>
        <rFont val="Arial"/>
        <family val="2"/>
      </rPr>
      <t>3</t>
    </r>
  </si>
  <si>
    <t>cubic meters</t>
  </si>
  <si>
    <t>miles</t>
  </si>
  <si>
    <t>mg</t>
  </si>
  <si>
    <t>milligram</t>
  </si>
  <si>
    <t>metric ton, tonne</t>
  </si>
  <si>
    <t>Megawatt hour</t>
  </si>
  <si>
    <t>Net calorific value</t>
  </si>
  <si>
    <t>nautical miles (international)</t>
  </si>
  <si>
    <t>scf</t>
  </si>
  <si>
    <t>standard cubic foot</t>
  </si>
  <si>
    <t>TJ</t>
  </si>
  <si>
    <t>Terajoules</t>
  </si>
  <si>
    <t>gallon (U.K.)</t>
  </si>
  <si>
    <t xml:space="preserve">U.K. long ton </t>
  </si>
  <si>
    <t>gallon (U.S.)</t>
  </si>
  <si>
    <t>U.S. short ton</t>
  </si>
  <si>
    <t>yard</t>
  </si>
  <si>
    <t>Revision History</t>
  </si>
  <si>
    <t>Version</t>
  </si>
  <si>
    <t>Revision Date</t>
  </si>
  <si>
    <t>Updated By</t>
  </si>
  <si>
    <t>Description</t>
  </si>
  <si>
    <t>1.0</t>
  </si>
  <si>
    <t xml:space="preserve"> June 2002</t>
  </si>
  <si>
    <t>2.0</t>
  </si>
  <si>
    <t>December, 2007</t>
  </si>
  <si>
    <t>GHG Protocol</t>
  </si>
  <si>
    <r>
      <t>Version 2 is based on the methods and data contained in the 2006 IPCC Guidelines for National Greenhouse Gas Inventories. These Guidelines can be viewed at http://www.ipcc-nggip.iges.or.jp/public/2006gl. Version 2 introduces separate methods for calculating the GHG emissions from distinct components of the overall Iron and Steel manufacturing process, including metallurgical coke, sinter, DRI, and Iron and Steel production. Version 2 also now enables the calculation of N</t>
    </r>
    <r>
      <rPr>
        <vertAlign val="subscript"/>
        <sz val="10"/>
        <rFont val="Arial"/>
        <family val="2"/>
      </rPr>
      <t>2</t>
    </r>
    <r>
      <rPr>
        <sz val="10"/>
        <rFont val="Arial"/>
        <family val="2"/>
      </rPr>
      <t xml:space="preserve">O emissions and the GHG emissions associated with stationary combustion and flaring. </t>
    </r>
  </si>
  <si>
    <t>2.1</t>
  </si>
  <si>
    <t>April, 2024</t>
  </si>
  <si>
    <t>Greenhouse Gas Management Institute &amp; GHG Protocol</t>
  </si>
  <si>
    <t xml:space="preserve">Fixed calculation errors under Iron &amp; Steel and Flaring, added Abbreviations and Conversions tab. Additionally, error was addressed in the conversion of Ethane from LHV to HHV in Appendix A. Added IPCC's AR6 global warming potentials.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</si>
</sst>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_(* \(#,##0\);_(* &quot;-&quot;_);_(@_)"/>
    <numFmt numFmtId="44" formatCode="_(&quot;$&quot;* #,##0.00_);_(&quot;$&quot;* \(#,##0.00\);_(&quot;$&quot;* &quot;-&quot;??_);_(@_)"/>
    <numFmt numFmtId="43" formatCode="_(* #,##0.00_);_(* \(#,##0.00\);_(* &quot;-&quot;??_);_(@_)"/>
    <numFmt numFmtId="164" formatCode="0.000"/>
    <numFmt numFmtId="165" formatCode="0.0000"/>
    <numFmt numFmtId="166" formatCode="0.0%"/>
    <numFmt numFmtId="167" formatCode="#,##0.0000"/>
    <numFmt numFmtId="168" formatCode="_(* #,##0.0_);_(* \(#,##0.0\);_(* &quot;-&quot;??_);_(@_)"/>
    <numFmt numFmtId="169" formatCode="###0.00_)"/>
    <numFmt numFmtId="170" formatCode="0.0_W"/>
    <numFmt numFmtId="171" formatCode="#,##0_)"/>
    <numFmt numFmtId="172" formatCode="0.0"/>
    <numFmt numFmtId="173" formatCode="#,##0.000"/>
    <numFmt numFmtId="174" formatCode="_(* #,##0_);_(* \(#,##0\);_(* &quot;-&quot;??_);_(@_)"/>
    <numFmt numFmtId="175" formatCode="[$-409]mmmm\ d\,\ yyyy;@"/>
    <numFmt numFmtId="176" formatCode="_(* #,##0.000_);_(* \(#,##0.000\);_(* &quot;-&quot;??_);_(@_)"/>
    <numFmt numFmtId="177" formatCode="_(* #,##0.000000000000_);_(* \(#,##0.000000000000\);_(* &quot;-&quot;??_);_(@_)"/>
    <numFmt numFmtId="178" formatCode="_(* #,##0.000000000_);_(* \(#,##0.000000000\);_(* &quot;-&quot;??_);_(@_)"/>
    <numFmt numFmtId="179" formatCode="_(* #,##0.000000_);_(* \(#,##0.000000\);_(* &quot;-&quot;??_);_(@_)"/>
    <numFmt numFmtId="180" formatCode="0.000E+00"/>
  </numFmts>
  <fonts count="61" x14ac:knownFonts="1">
    <font>
      <sz val="10"/>
      <name val="Arial"/>
    </font>
    <font>
      <sz val="10"/>
      <name val="Arial"/>
      <family val="2"/>
    </font>
    <font>
      <b/>
      <sz val="12"/>
      <name val="Arial"/>
      <family val="2"/>
    </font>
    <font>
      <b/>
      <vertAlign val="subscript"/>
      <sz val="12"/>
      <name val="Arial"/>
      <family val="2"/>
    </font>
    <font>
      <sz val="12"/>
      <name val="Arial"/>
      <family val="2"/>
    </font>
    <font>
      <b/>
      <sz val="10"/>
      <name val="Arial"/>
      <family val="2"/>
    </font>
    <font>
      <sz val="10"/>
      <color indexed="10"/>
      <name val="Arial"/>
      <family val="2"/>
    </font>
    <font>
      <sz val="8"/>
      <name val="Arial"/>
      <family val="2"/>
    </font>
    <font>
      <sz val="9"/>
      <name val="Times New Roman"/>
      <family val="1"/>
    </font>
    <font>
      <b/>
      <sz val="9"/>
      <name val="Times New Roman"/>
      <family val="1"/>
    </font>
    <font>
      <sz val="12"/>
      <name val="Helv"/>
    </font>
    <font>
      <b/>
      <sz val="12"/>
      <name val="Helv"/>
    </font>
    <font>
      <sz val="9"/>
      <name val="Helv"/>
    </font>
    <font>
      <vertAlign val="superscript"/>
      <sz val="12"/>
      <name val="Helv"/>
    </font>
    <font>
      <sz val="10"/>
      <name val="Helv"/>
    </font>
    <font>
      <b/>
      <sz val="18"/>
      <name val="Arial"/>
      <family val="2"/>
    </font>
    <font>
      <b/>
      <sz val="12"/>
      <name val="Arial"/>
      <family val="2"/>
    </font>
    <font>
      <b/>
      <sz val="12"/>
      <name val="Times New Roman"/>
      <family val="1"/>
    </font>
    <font>
      <b/>
      <sz val="9"/>
      <name val="Helv"/>
    </font>
    <font>
      <sz val="8.5"/>
      <name val="Helv"/>
    </font>
    <font>
      <b/>
      <sz val="10"/>
      <name val="Helv"/>
    </font>
    <font>
      <sz val="1"/>
      <name val="Arial"/>
      <family val="2"/>
    </font>
    <font>
      <sz val="8"/>
      <name val="Helv"/>
      <family val="2"/>
    </font>
    <font>
      <b/>
      <sz val="14"/>
      <name val="Helv"/>
    </font>
    <font>
      <vertAlign val="subscript"/>
      <sz val="12"/>
      <name val="Arial"/>
      <family val="2"/>
    </font>
    <font>
      <u/>
      <sz val="12"/>
      <name val="Arial"/>
      <family val="2"/>
    </font>
    <font>
      <vertAlign val="subscript"/>
      <sz val="10"/>
      <name val="Arial"/>
      <family val="2"/>
    </font>
    <font>
      <sz val="11"/>
      <color indexed="16"/>
      <name val="Arial"/>
      <family val="2"/>
    </font>
    <font>
      <b/>
      <sz val="12"/>
      <color indexed="18"/>
      <name val="Arial"/>
      <family val="2"/>
    </font>
    <font>
      <b/>
      <sz val="11"/>
      <name val="Arial"/>
      <family val="2"/>
    </font>
    <font>
      <b/>
      <vertAlign val="subscript"/>
      <sz val="10"/>
      <name val="Arial"/>
      <family val="2"/>
    </font>
    <font>
      <b/>
      <u/>
      <sz val="11"/>
      <name val="Arial"/>
      <family val="2"/>
    </font>
    <font>
      <b/>
      <u/>
      <sz val="12"/>
      <name val="Arial"/>
      <family val="2"/>
    </font>
    <font>
      <vertAlign val="superscript"/>
      <sz val="10"/>
      <name val="Arial"/>
      <family val="2"/>
    </font>
    <font>
      <sz val="10"/>
      <name val="Times New Roman"/>
      <family val="1"/>
    </font>
    <font>
      <sz val="10"/>
      <color rgb="FFFF0000"/>
      <name val="Arial"/>
      <family val="2"/>
    </font>
    <font>
      <b/>
      <vertAlign val="superscript"/>
      <sz val="11"/>
      <name val="Arial"/>
      <family val="2"/>
    </font>
    <font>
      <sz val="11"/>
      <name val="Arial"/>
      <family val="2"/>
    </font>
    <font>
      <b/>
      <vertAlign val="subscript"/>
      <sz val="11"/>
      <name val="Arial"/>
      <family val="2"/>
    </font>
    <font>
      <sz val="11"/>
      <color indexed="10"/>
      <name val="Arial"/>
      <family val="2"/>
    </font>
    <font>
      <vertAlign val="superscript"/>
      <sz val="10"/>
      <name val="Times New Roman"/>
      <family val="1"/>
    </font>
    <font>
      <vertAlign val="subscript"/>
      <sz val="11"/>
      <name val="Arial"/>
      <family val="2"/>
    </font>
    <font>
      <u/>
      <sz val="10"/>
      <color theme="10"/>
      <name val="Arial"/>
      <family val="2"/>
    </font>
    <font>
      <i/>
      <sz val="9"/>
      <color theme="3" tint="0.249977111117893"/>
      <name val="Arial"/>
      <family val="2"/>
    </font>
    <font>
      <i/>
      <sz val="10"/>
      <color theme="3" tint="0.249977111117893"/>
      <name val="Arial"/>
      <family val="2"/>
    </font>
    <font>
      <b/>
      <sz val="14"/>
      <color rgb="FF00C6B9"/>
      <name val="Arial"/>
      <family val="2"/>
    </font>
    <font>
      <b/>
      <sz val="8"/>
      <name val="Arial"/>
      <family val="2"/>
    </font>
    <font>
      <b/>
      <vertAlign val="superscript"/>
      <sz val="10"/>
      <name val="Arial"/>
      <family val="2"/>
    </font>
    <font>
      <u/>
      <sz val="10"/>
      <name val="Arial"/>
      <family val="2"/>
    </font>
    <font>
      <sz val="9"/>
      <name val="Arial"/>
      <family val="2"/>
    </font>
    <font>
      <sz val="12"/>
      <color theme="1"/>
      <name val="Aptos Narrow"/>
      <family val="2"/>
      <scheme val="minor"/>
    </font>
    <font>
      <vertAlign val="superscript"/>
      <sz val="9"/>
      <name val="Arial"/>
      <family val="2"/>
    </font>
    <font>
      <sz val="9"/>
      <name val="Symbol"/>
      <family val="1"/>
      <charset val="2"/>
    </font>
    <font>
      <b/>
      <sz val="9"/>
      <name val="Arial"/>
      <family val="2"/>
    </font>
    <font>
      <sz val="9"/>
      <color theme="1"/>
      <name val="Arial"/>
      <family val="2"/>
    </font>
    <font>
      <b/>
      <sz val="9"/>
      <color theme="1"/>
      <name val="Arial"/>
      <family val="2"/>
    </font>
    <font>
      <sz val="9"/>
      <color rgb="FF053D5F"/>
      <name val="Arial"/>
      <family val="2"/>
    </font>
    <font>
      <b/>
      <sz val="12"/>
      <color theme="1"/>
      <name val="Arial"/>
      <family val="2"/>
    </font>
    <font>
      <b/>
      <vertAlign val="superscript"/>
      <sz val="9"/>
      <color theme="1"/>
      <name val="Arial"/>
      <family val="2"/>
    </font>
    <font>
      <sz val="10"/>
      <color theme="0"/>
      <name val="Arial"/>
      <family val="2"/>
    </font>
    <font>
      <u/>
      <sz val="11"/>
      <color theme="10"/>
      <name val="Arial"/>
      <family val="2"/>
    </font>
  </fonts>
  <fills count="22">
    <fill>
      <patternFill patternType="none"/>
    </fill>
    <fill>
      <patternFill patternType="gray125"/>
    </fill>
    <fill>
      <patternFill patternType="solid">
        <fgColor indexed="22"/>
        <bgColor indexed="9"/>
      </patternFill>
    </fill>
    <fill>
      <patternFill patternType="solid">
        <fgColor indexed="22"/>
        <bgColor indexed="64"/>
      </patternFill>
    </fill>
    <fill>
      <patternFill patternType="darkTrellis"/>
    </fill>
    <fill>
      <patternFill patternType="solid">
        <fgColor indexed="22"/>
        <b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FCC99"/>
        <bgColor indexed="64"/>
      </patternFill>
    </fill>
    <fill>
      <patternFill patternType="solid">
        <fgColor rgb="FFC0C0C0"/>
        <bgColor indexed="64"/>
      </patternFill>
    </fill>
    <fill>
      <patternFill patternType="solid">
        <fgColor theme="3" tint="0.89999084444715716"/>
        <bgColor indexed="64"/>
      </patternFill>
    </fill>
    <fill>
      <patternFill patternType="solid">
        <fgColor rgb="FFFFFF9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00C6B9"/>
        <bgColor indexed="64"/>
      </patternFill>
    </fill>
    <fill>
      <patternFill patternType="solid">
        <fgColor theme="7" tint="0.39997558519241921"/>
        <bgColor indexed="64"/>
      </patternFill>
    </fill>
    <fill>
      <patternFill patternType="solid">
        <fgColor theme="0"/>
        <bgColor indexed="64"/>
      </patternFill>
    </fill>
    <fill>
      <patternFill patternType="solid">
        <fgColor rgb="FF00ACA2"/>
        <bgColor indexed="64"/>
      </patternFill>
    </fill>
  </fills>
  <borders count="2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22"/>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22"/>
      </bottom>
      <diagonal/>
    </border>
    <border>
      <left style="medium">
        <color indexed="64"/>
      </left>
      <right style="thin">
        <color indexed="64"/>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9"/>
      </left>
      <right style="thin">
        <color indexed="9"/>
      </right>
      <top style="medium">
        <color indexed="64"/>
      </top>
      <bottom style="thin">
        <color indexed="9"/>
      </bottom>
      <diagonal/>
    </border>
    <border>
      <left style="thin">
        <color indexed="9"/>
      </left>
      <right style="thin">
        <color indexed="9"/>
      </right>
      <top style="thin">
        <color indexed="9"/>
      </top>
      <bottom style="medium">
        <color indexed="64"/>
      </bottom>
      <diagonal/>
    </border>
    <border>
      <left style="thin">
        <color indexed="9"/>
      </left>
      <right style="thin">
        <color indexed="9"/>
      </right>
      <top/>
      <bottom style="thin">
        <color indexed="9"/>
      </bottom>
      <diagonal/>
    </border>
    <border>
      <left/>
      <right style="medium">
        <color indexed="64"/>
      </right>
      <top style="thin">
        <color indexed="22"/>
      </top>
      <bottom style="thin">
        <color indexed="22"/>
      </bottom>
      <diagonal/>
    </border>
    <border>
      <left/>
      <right style="medium">
        <color indexed="64"/>
      </right>
      <top style="thin">
        <color indexed="64"/>
      </top>
      <bottom style="thin">
        <color indexed="64"/>
      </bottom>
      <diagonal/>
    </border>
    <border>
      <left/>
      <right style="medium">
        <color indexed="64"/>
      </right>
      <top style="thin">
        <color indexed="9"/>
      </top>
      <bottom style="thin">
        <color indexed="9"/>
      </bottom>
      <diagonal/>
    </border>
    <border>
      <left/>
      <right style="medium">
        <color indexed="64"/>
      </right>
      <top style="thin">
        <color indexed="22"/>
      </top>
      <bottom style="medium">
        <color indexed="64"/>
      </bottom>
      <diagonal/>
    </border>
    <border>
      <left style="medium">
        <color indexed="64"/>
      </left>
      <right style="thin">
        <color indexed="64"/>
      </right>
      <top style="thin">
        <color indexed="22"/>
      </top>
      <bottom style="medium">
        <color indexed="64"/>
      </bottom>
      <diagonal/>
    </border>
    <border>
      <left/>
      <right/>
      <top style="thin">
        <color indexed="9"/>
      </top>
      <bottom/>
      <diagonal/>
    </border>
    <border>
      <left style="thin">
        <color indexed="9"/>
      </left>
      <right/>
      <top style="thin">
        <color indexed="9"/>
      </top>
      <bottom style="medium">
        <color indexed="64"/>
      </bottom>
      <diagonal/>
    </border>
    <border>
      <left style="thin">
        <color indexed="22"/>
      </left>
      <right style="medium">
        <color indexed="64"/>
      </right>
      <top style="thin">
        <color indexed="22"/>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22"/>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thin">
        <color indexed="22"/>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22"/>
      </bottom>
      <diagonal/>
    </border>
    <border>
      <left style="medium">
        <color indexed="64"/>
      </left>
      <right style="medium">
        <color indexed="64"/>
      </right>
      <top/>
      <bottom style="thin">
        <color indexed="9"/>
      </bottom>
      <diagonal/>
    </border>
    <border>
      <left style="medium">
        <color indexed="64"/>
      </left>
      <right style="medium">
        <color indexed="64"/>
      </right>
      <top style="thin">
        <color indexed="9"/>
      </top>
      <bottom style="thin">
        <color indexed="9"/>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9"/>
      </top>
      <bottom style="medium">
        <color indexed="64"/>
      </bottom>
      <diagonal/>
    </border>
    <border>
      <left style="medium">
        <color indexed="64"/>
      </left>
      <right style="thin">
        <color indexed="9"/>
      </right>
      <top style="medium">
        <color indexed="64"/>
      </top>
      <bottom style="thin">
        <color indexed="9"/>
      </bottom>
      <diagonal/>
    </border>
    <border>
      <left style="medium">
        <color indexed="64"/>
      </left>
      <right style="thin">
        <color indexed="9"/>
      </right>
      <top style="thin">
        <color indexed="9"/>
      </top>
      <bottom style="thin">
        <color indexed="9"/>
      </bottom>
      <diagonal/>
    </border>
    <border>
      <left style="medium">
        <color indexed="64"/>
      </left>
      <right style="thin">
        <color indexed="9"/>
      </right>
      <top style="thin">
        <color indexed="9"/>
      </top>
      <bottom style="medium">
        <color indexed="64"/>
      </bottom>
      <diagonal/>
    </border>
    <border>
      <left style="medium">
        <color indexed="64"/>
      </left>
      <right style="medium">
        <color indexed="64"/>
      </right>
      <top style="medium">
        <color indexed="64"/>
      </top>
      <bottom style="thin">
        <color indexed="9"/>
      </bottom>
      <diagonal/>
    </border>
    <border>
      <left/>
      <right style="thin">
        <color indexed="9"/>
      </right>
      <top style="thin">
        <color indexed="9"/>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22"/>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medium">
        <color indexed="64"/>
      </bottom>
      <diagonal/>
    </border>
    <border>
      <left style="thin">
        <color indexed="9"/>
      </left>
      <right style="thin">
        <color indexed="9"/>
      </right>
      <top/>
      <bottom/>
      <diagonal/>
    </border>
    <border>
      <left style="thin">
        <color indexed="9"/>
      </left>
      <right style="medium">
        <color indexed="64"/>
      </right>
      <top/>
      <bottom style="thin">
        <color indexed="9"/>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22"/>
      </bottom>
      <diagonal/>
    </border>
    <border>
      <left style="thin">
        <color indexed="64"/>
      </left>
      <right style="thin">
        <color indexed="64"/>
      </right>
      <top/>
      <bottom style="medium">
        <color indexed="64"/>
      </bottom>
      <diagonal/>
    </border>
    <border>
      <left style="thin">
        <color indexed="9"/>
      </left>
      <right/>
      <top style="medium">
        <color indexed="64"/>
      </top>
      <bottom style="thin">
        <color indexed="9"/>
      </bottom>
      <diagonal/>
    </border>
    <border>
      <left style="thin">
        <color indexed="9"/>
      </left>
      <right/>
      <top/>
      <bottom/>
      <diagonal/>
    </border>
    <border>
      <left/>
      <right style="medium">
        <color indexed="64"/>
      </right>
      <top/>
      <bottom style="thin">
        <color indexed="9"/>
      </bottom>
      <diagonal/>
    </border>
    <border>
      <left/>
      <right style="medium">
        <color indexed="64"/>
      </right>
      <top style="thin">
        <color indexed="9"/>
      </top>
      <bottom style="medium">
        <color indexed="64"/>
      </bottom>
      <diagonal/>
    </border>
    <border>
      <left style="thin">
        <color indexed="9"/>
      </left>
      <right style="thin">
        <color indexed="9"/>
      </right>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22"/>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top style="medium">
        <color indexed="64"/>
      </top>
      <bottom style="medium">
        <color indexed="64"/>
      </bottom>
      <diagonal/>
    </border>
    <border>
      <left/>
      <right style="thin">
        <color indexed="9"/>
      </right>
      <top/>
      <bottom style="medium">
        <color indexed="64"/>
      </bottom>
      <diagonal/>
    </border>
    <border>
      <left style="thin">
        <color indexed="9"/>
      </left>
      <right/>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64"/>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64"/>
      </top>
      <bottom style="thin">
        <color indexed="22"/>
      </bottom>
      <diagonal/>
    </border>
    <border>
      <left/>
      <right/>
      <top style="thin">
        <color indexed="22"/>
      </top>
      <bottom style="medium">
        <color indexed="64"/>
      </bottom>
      <diagonal/>
    </border>
    <border>
      <left style="medium">
        <color indexed="64"/>
      </left>
      <right/>
      <top style="thin">
        <color indexed="64"/>
      </top>
      <bottom/>
      <diagonal/>
    </border>
    <border>
      <left style="medium">
        <color indexed="64"/>
      </left>
      <right style="thin">
        <color indexed="22"/>
      </right>
      <top style="thin">
        <color indexed="22"/>
      </top>
      <bottom style="medium">
        <color indexed="64"/>
      </bottom>
      <diagonal/>
    </border>
    <border>
      <left/>
      <right style="thin">
        <color indexed="9"/>
      </right>
      <top style="medium">
        <color indexed="64"/>
      </top>
      <bottom style="thin">
        <color indexed="9"/>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9"/>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thin">
        <color indexed="22"/>
      </top>
      <bottom style="medium">
        <color indexed="64"/>
      </bottom>
      <diagonal/>
    </border>
    <border>
      <left style="medium">
        <color indexed="64"/>
      </left>
      <right style="medium">
        <color indexed="64"/>
      </right>
      <top/>
      <bottom style="medium">
        <color indexed="64"/>
      </bottom>
      <diagonal/>
    </border>
    <border>
      <left style="thin">
        <color indexed="9"/>
      </left>
      <right style="medium">
        <color indexed="64"/>
      </right>
      <top style="thin">
        <color indexed="9"/>
      </top>
      <bottom/>
      <diagonal/>
    </border>
    <border>
      <left style="thin">
        <color indexed="9"/>
      </left>
      <right style="medium">
        <color indexed="64"/>
      </right>
      <top/>
      <bottom/>
      <diagonal/>
    </border>
    <border>
      <left/>
      <right/>
      <top style="thin">
        <color indexed="22"/>
      </top>
      <bottom/>
      <diagonal/>
    </border>
    <border>
      <left style="thin">
        <color indexed="22"/>
      </left>
      <right style="thin">
        <color indexed="22"/>
      </right>
      <top style="thin">
        <color indexed="22"/>
      </top>
      <bottom style="medium">
        <color indexed="64"/>
      </bottom>
      <diagonal/>
    </border>
    <border>
      <left style="medium">
        <color indexed="64"/>
      </left>
      <right style="thin">
        <color indexed="64"/>
      </right>
      <top style="medium">
        <color indexed="64"/>
      </top>
      <bottom style="mediumDashed">
        <color indexed="64"/>
      </bottom>
      <diagonal/>
    </border>
    <border>
      <left style="thin">
        <color indexed="64"/>
      </left>
      <right style="thin">
        <color indexed="64"/>
      </right>
      <top style="medium">
        <color indexed="64"/>
      </top>
      <bottom style="mediumDashed">
        <color indexed="64"/>
      </bottom>
      <diagonal/>
    </border>
    <border>
      <left style="thin">
        <color indexed="64"/>
      </left>
      <right style="medium">
        <color indexed="64"/>
      </right>
      <top style="medium">
        <color indexed="64"/>
      </top>
      <bottom style="mediumDashed">
        <color indexed="64"/>
      </bottom>
      <diagonal/>
    </border>
    <border>
      <left/>
      <right style="thin">
        <color indexed="9"/>
      </right>
      <top/>
      <bottom/>
      <diagonal/>
    </border>
    <border>
      <left style="thin">
        <color indexed="64"/>
      </left>
      <right/>
      <top style="thin">
        <color indexed="64"/>
      </top>
      <bottom/>
      <diagonal/>
    </border>
    <border>
      <left style="medium">
        <color indexed="64"/>
      </left>
      <right style="medium">
        <color indexed="64"/>
      </right>
      <top style="medium">
        <color indexed="64"/>
      </top>
      <bottom style="mediumDashed">
        <color indexed="64"/>
      </bottom>
      <diagonal/>
    </border>
    <border>
      <left style="medium">
        <color indexed="64"/>
      </left>
      <right style="medium">
        <color indexed="64"/>
      </right>
      <top/>
      <bottom style="mediumDashed">
        <color indexed="64"/>
      </bottom>
      <diagonal/>
    </border>
    <border>
      <left style="thin">
        <color indexed="8"/>
      </left>
      <right style="thin">
        <color indexed="64"/>
      </right>
      <top style="thin">
        <color indexed="8"/>
      </top>
      <bottom style="mediumDashed">
        <color indexed="64"/>
      </bottom>
      <diagonal/>
    </border>
    <border>
      <left style="thin">
        <color indexed="64"/>
      </left>
      <right style="thin">
        <color indexed="64"/>
      </right>
      <top/>
      <bottom style="mediumDashed">
        <color indexed="64"/>
      </bottom>
      <diagonal/>
    </border>
    <border>
      <left style="medium">
        <color indexed="64"/>
      </left>
      <right/>
      <top style="thin">
        <color indexed="8"/>
      </top>
      <bottom style="mediumDashed">
        <color indexed="64"/>
      </bottom>
      <diagonal/>
    </border>
    <border>
      <left/>
      <right style="thin">
        <color indexed="8"/>
      </right>
      <top style="thin">
        <color indexed="8"/>
      </top>
      <bottom style="mediumDashed">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medium">
        <color indexed="64"/>
      </top>
      <bottom style="mediumDashed">
        <color indexed="64"/>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Dashed">
        <color indexed="64"/>
      </top>
      <bottom/>
      <diagonal/>
    </border>
    <border>
      <left style="thin">
        <color indexed="64"/>
      </left>
      <right/>
      <top style="thin">
        <color indexed="64"/>
      </top>
      <bottom style="mediumDashed">
        <color indexed="64"/>
      </bottom>
      <diagonal/>
    </border>
    <border>
      <left/>
      <right/>
      <top style="thin">
        <color indexed="64"/>
      </top>
      <bottom style="mediumDashed">
        <color indexed="64"/>
      </bottom>
      <diagonal/>
    </border>
    <border>
      <left/>
      <right style="medium">
        <color indexed="64"/>
      </right>
      <top style="thin">
        <color indexed="64"/>
      </top>
      <bottom style="mediumDashed">
        <color indexed="64"/>
      </bottom>
      <diagonal/>
    </border>
    <border>
      <left/>
      <right style="medium">
        <color indexed="64"/>
      </right>
      <top style="medium">
        <color indexed="64"/>
      </top>
      <bottom style="mediumDashed">
        <color indexed="64"/>
      </bottom>
      <diagonal/>
    </border>
    <border>
      <left style="thin">
        <color indexed="64"/>
      </left>
      <right/>
      <top style="medium">
        <color indexed="64"/>
      </top>
      <bottom style="mediumDashed">
        <color indexed="64"/>
      </bottom>
      <diagonal/>
    </border>
    <border>
      <left style="medium">
        <color indexed="64"/>
      </left>
      <right/>
      <top style="thin">
        <color indexed="22"/>
      </top>
      <bottom style="mediumDashed">
        <color indexed="64"/>
      </bottom>
      <diagonal/>
    </border>
    <border>
      <left/>
      <right/>
      <top style="thin">
        <color indexed="22"/>
      </top>
      <bottom style="mediumDashed">
        <color indexed="64"/>
      </bottom>
      <diagonal/>
    </border>
    <border>
      <left/>
      <right style="medium">
        <color indexed="64"/>
      </right>
      <top style="thin">
        <color indexed="22"/>
      </top>
      <bottom style="mediumDashed">
        <color indexed="64"/>
      </bottom>
      <diagonal/>
    </border>
    <border>
      <left/>
      <right style="medium">
        <color indexed="64"/>
      </right>
      <top/>
      <bottom style="mediumDashed">
        <color indexed="64"/>
      </bottom>
      <diagonal/>
    </border>
    <border>
      <left style="medium">
        <color indexed="64"/>
      </left>
      <right style="medium">
        <color indexed="64"/>
      </right>
      <top style="thin">
        <color indexed="22"/>
      </top>
      <bottom style="mediumDashed">
        <color indexed="64"/>
      </bottom>
      <diagonal/>
    </border>
    <border>
      <left style="medium">
        <color indexed="64"/>
      </left>
      <right style="thin">
        <color indexed="64"/>
      </right>
      <top/>
      <bottom style="mediumDashed">
        <color indexed="64"/>
      </bottom>
      <diagonal/>
    </border>
    <border>
      <left style="medium">
        <color indexed="64"/>
      </left>
      <right style="thin">
        <color indexed="22"/>
      </right>
      <top style="thin">
        <color indexed="22"/>
      </top>
      <bottom style="mediumDashed">
        <color indexed="64"/>
      </bottom>
      <diagonal/>
    </border>
    <border>
      <left style="thin">
        <color indexed="22"/>
      </left>
      <right style="thin">
        <color indexed="22"/>
      </right>
      <top style="thin">
        <color indexed="22"/>
      </top>
      <bottom style="mediumDashed">
        <color indexed="64"/>
      </bottom>
      <diagonal/>
    </border>
    <border>
      <left style="thin">
        <color indexed="22"/>
      </left>
      <right style="medium">
        <color indexed="64"/>
      </right>
      <top style="thin">
        <color indexed="22"/>
      </top>
      <bottom style="mediumDashed">
        <color indexed="64"/>
      </bottom>
      <diagonal/>
    </border>
    <border>
      <left style="medium">
        <color indexed="64"/>
      </left>
      <right style="thin">
        <color indexed="64"/>
      </right>
      <top style="thin">
        <color indexed="22"/>
      </top>
      <bottom style="mediumDashed">
        <color indexed="64"/>
      </bottom>
      <diagonal/>
    </border>
    <border>
      <left style="thin">
        <color indexed="64"/>
      </left>
      <right style="medium">
        <color indexed="64"/>
      </right>
      <top/>
      <bottom style="thin">
        <color indexed="22"/>
      </bottom>
      <diagonal/>
    </border>
    <border>
      <left/>
      <right style="thin">
        <color indexed="64"/>
      </right>
      <top style="medium">
        <color indexed="64"/>
      </top>
      <bottom style="mediumDashed">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22"/>
      </bottom>
      <diagonal/>
    </border>
    <border>
      <left style="thin">
        <color indexed="8"/>
      </left>
      <right/>
      <top style="thin">
        <color indexed="8"/>
      </top>
      <bottom style="mediumDashed">
        <color indexed="64"/>
      </bottom>
      <diagonal/>
    </border>
    <border>
      <left style="thin">
        <color indexed="64"/>
      </left>
      <right style="thin">
        <color indexed="64"/>
      </right>
      <top style="thin">
        <color indexed="64"/>
      </top>
      <bottom style="mediumDashed">
        <color indexed="64"/>
      </bottom>
      <diagonal/>
    </border>
    <border>
      <left style="medium">
        <color indexed="64"/>
      </left>
      <right style="thin">
        <color indexed="64"/>
      </right>
      <top style="thin">
        <color indexed="64"/>
      </top>
      <bottom style="mediumDash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9"/>
      </top>
      <bottom/>
      <diagonal/>
    </border>
    <border>
      <left style="medium">
        <color indexed="64"/>
      </left>
      <right/>
      <top style="medium">
        <color indexed="64"/>
      </top>
      <bottom style="mediumDashed">
        <color indexed="64"/>
      </bottom>
      <diagonal/>
    </border>
    <border>
      <left/>
      <right style="thin">
        <color indexed="64"/>
      </right>
      <top style="medium">
        <color indexed="64"/>
      </top>
      <bottom/>
      <diagonal/>
    </border>
    <border>
      <left style="medium">
        <color theme="3"/>
      </left>
      <right style="medium">
        <color theme="3"/>
      </right>
      <top style="medium">
        <color theme="3"/>
      </top>
      <bottom style="thin">
        <color indexed="64"/>
      </bottom>
      <diagonal/>
    </border>
    <border>
      <left style="medium">
        <color theme="3"/>
      </left>
      <right style="medium">
        <color theme="3"/>
      </right>
      <top style="thin">
        <color indexed="64"/>
      </top>
      <bottom style="thin">
        <color indexed="64"/>
      </bottom>
      <diagonal/>
    </border>
    <border>
      <left style="medium">
        <color theme="3"/>
      </left>
      <right style="medium">
        <color theme="3"/>
      </right>
      <top style="thin">
        <color indexed="64"/>
      </top>
      <bottom/>
      <diagonal/>
    </border>
    <border>
      <left style="medium">
        <color theme="3"/>
      </left>
      <right style="medium">
        <color theme="3"/>
      </right>
      <top style="medium">
        <color indexed="64"/>
      </top>
      <bottom style="thin">
        <color indexed="64"/>
      </bottom>
      <diagonal/>
    </border>
    <border>
      <left style="medium">
        <color theme="3"/>
      </left>
      <right style="medium">
        <color theme="3"/>
      </right>
      <top style="medium">
        <color indexed="64"/>
      </top>
      <bottom style="medium">
        <color indexed="64"/>
      </bottom>
      <diagonal/>
    </border>
    <border>
      <left style="medium">
        <color theme="3"/>
      </left>
      <right style="medium">
        <color theme="3"/>
      </right>
      <top style="thin">
        <color indexed="64"/>
      </top>
      <bottom style="medium">
        <color indexed="64"/>
      </bottom>
      <diagonal/>
    </border>
    <border>
      <left style="medium">
        <color theme="3"/>
      </left>
      <right style="medium">
        <color theme="3"/>
      </right>
      <top/>
      <bottom style="thin">
        <color indexed="64"/>
      </bottom>
      <diagonal/>
    </border>
    <border>
      <left style="medium">
        <color theme="3"/>
      </left>
      <right style="medium">
        <color theme="3"/>
      </right>
      <top style="thin">
        <color indexed="64"/>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medium">
        <color theme="3"/>
      </right>
      <top style="medium">
        <color theme="3"/>
      </top>
      <bottom style="medium">
        <color indexed="64"/>
      </bottom>
      <diagonal/>
    </border>
    <border>
      <left style="medium">
        <color theme="3"/>
      </left>
      <right style="medium">
        <color theme="3"/>
      </right>
      <top style="medium">
        <color indexed="64"/>
      </top>
      <bottom style="thin">
        <color indexed="9"/>
      </bottom>
      <diagonal/>
    </border>
    <border>
      <left style="medium">
        <color theme="3"/>
      </left>
      <right style="medium">
        <color theme="3"/>
      </right>
      <top style="thin">
        <color indexed="9"/>
      </top>
      <bottom style="thin">
        <color indexed="9"/>
      </bottom>
      <diagonal/>
    </border>
    <border>
      <left style="medium">
        <color theme="3"/>
      </left>
      <right style="medium">
        <color theme="3"/>
      </right>
      <top style="thin">
        <color indexed="9"/>
      </top>
      <bottom style="medium">
        <color indexed="64"/>
      </bottom>
      <diagonal/>
    </border>
    <border>
      <left style="medium">
        <color theme="3"/>
      </left>
      <right style="medium">
        <color theme="3"/>
      </right>
      <top style="medium">
        <color indexed="64"/>
      </top>
      <bottom style="medium">
        <color theme="3"/>
      </bottom>
      <diagonal/>
    </border>
    <border>
      <left style="medium">
        <color theme="3"/>
      </left>
      <right style="medium">
        <color theme="3"/>
      </right>
      <top style="medium">
        <color theme="3"/>
      </top>
      <bottom style="thin">
        <color indexed="9"/>
      </bottom>
      <diagonal/>
    </border>
    <border>
      <left/>
      <right style="thin">
        <color indexed="9"/>
      </right>
      <top/>
      <bottom style="thin">
        <color indexed="9"/>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19"/>
      </left>
      <right style="medium">
        <color indexed="19"/>
      </right>
      <top style="medium">
        <color indexed="19"/>
      </top>
      <bottom/>
      <diagonal/>
    </border>
    <border>
      <left/>
      <right style="medium">
        <color theme="1" tint="0.14999847407452621"/>
      </right>
      <top/>
      <bottom style="medium">
        <color theme="1" tint="0.14999847407452621"/>
      </bottom>
      <diagonal/>
    </border>
    <border>
      <left style="medium">
        <color theme="1" tint="0.14999847407452621"/>
      </left>
      <right/>
      <top/>
      <bottom style="medium">
        <color theme="1" tint="0.14999847407452621"/>
      </bottom>
      <diagonal/>
    </border>
    <border>
      <left/>
      <right style="medium">
        <color theme="1" tint="0.14999847407452621"/>
      </right>
      <top/>
      <bottom/>
      <diagonal/>
    </border>
    <border>
      <left style="medium">
        <color theme="1" tint="0.14999847407452621"/>
      </left>
      <right/>
      <top/>
      <bottom/>
      <diagonal/>
    </border>
    <border>
      <left/>
      <right/>
      <top/>
      <bottom style="medium">
        <color theme="1" tint="0.14999847407452621"/>
      </bottom>
      <diagonal/>
    </border>
    <border>
      <left/>
      <right style="medium">
        <color theme="1" tint="0.14999847407452621"/>
      </right>
      <top style="medium">
        <color theme="1" tint="0.14999847407452621"/>
      </top>
      <bottom/>
      <diagonal/>
    </border>
    <border>
      <left/>
      <right/>
      <top style="medium">
        <color theme="1" tint="0.14999847407452621"/>
      </top>
      <bottom/>
      <diagonal/>
    </border>
    <border>
      <left style="medium">
        <color theme="1" tint="0.14999847407452621"/>
      </left>
      <right/>
      <top style="medium">
        <color theme="1" tint="0.14999847407452621"/>
      </top>
      <bottom/>
      <diagonal/>
    </border>
    <border>
      <left/>
      <right style="medium">
        <color theme="1" tint="0.14999847407452621"/>
      </right>
      <top style="medium">
        <color theme="1" tint="0.14999847407452621"/>
      </top>
      <bottom style="medium">
        <color theme="1" tint="0.14999847407452621"/>
      </bottom>
      <diagonal/>
    </border>
    <border>
      <left/>
      <right/>
      <top style="medium">
        <color theme="1" tint="0.14999847407452621"/>
      </top>
      <bottom style="medium">
        <color theme="1" tint="0.14999847407452621"/>
      </bottom>
      <diagonal/>
    </border>
    <border>
      <left style="medium">
        <color theme="1" tint="0.14999847407452621"/>
      </left>
      <right/>
      <top style="medium">
        <color theme="1" tint="0.14999847407452621"/>
      </top>
      <bottom style="medium">
        <color theme="1" tint="0.14999847407452621"/>
      </bottom>
      <diagonal/>
    </border>
    <border>
      <left/>
      <right style="medium">
        <color theme="1" tint="0.14999847407452621"/>
      </right>
      <top/>
      <bottom style="medium">
        <color indexed="64"/>
      </bottom>
      <diagonal/>
    </border>
    <border>
      <left style="medium">
        <color theme="1" tint="0.14999847407452621"/>
      </left>
      <right/>
      <top/>
      <bottom style="medium">
        <color indexed="64"/>
      </bottom>
      <diagonal/>
    </border>
    <border>
      <left style="thin">
        <color theme="0"/>
      </left>
      <right style="thin">
        <color theme="0"/>
      </right>
      <top style="thin">
        <color theme="0"/>
      </top>
      <bottom style="thin">
        <color theme="0"/>
      </bottom>
      <diagonal/>
    </border>
  </borders>
  <cellStyleXfs count="69">
    <xf numFmtId="0" fontId="0" fillId="0" borderId="0"/>
    <xf numFmtId="49" fontId="8" fillId="0" borderId="1" applyNumberFormat="0" applyFont="0" applyFill="0" applyBorder="0" applyProtection="0">
      <alignment horizontal="left" vertical="center" indent="2"/>
    </xf>
    <xf numFmtId="49" fontId="8" fillId="0" borderId="2" applyNumberFormat="0" applyFont="0" applyFill="0" applyBorder="0" applyProtection="0">
      <alignment horizontal="left" vertical="center" indent="5"/>
    </xf>
    <xf numFmtId="4" fontId="9" fillId="0" borderId="3" applyFill="0" applyBorder="0" applyProtection="0">
      <alignment horizontal="right" vertical="center"/>
    </xf>
    <xf numFmtId="0" fontId="10" fillId="0" borderId="0">
      <alignment horizontal="center" vertical="center" wrapText="1"/>
    </xf>
    <xf numFmtId="43" fontId="1" fillId="0" borderId="0" applyFont="0" applyFill="0" applyBorder="0" applyAlignment="0" applyProtection="0"/>
    <xf numFmtId="3" fontId="1" fillId="0" borderId="0" applyFont="0" applyFill="0" applyBorder="0" applyAlignment="0" applyProtection="0"/>
    <xf numFmtId="0" fontId="11" fillId="0" borderId="0">
      <alignment horizontal="left" vertical="center" wrapText="1"/>
    </xf>
    <xf numFmtId="168" fontId="1" fillId="0" borderId="0" applyFont="0" applyFill="0" applyBorder="0" applyAlignment="0" applyProtection="0"/>
    <xf numFmtId="3" fontId="12" fillId="0" borderId="4" applyAlignment="0">
      <alignment horizontal="right" vertical="center"/>
    </xf>
    <xf numFmtId="171" fontId="12" fillId="0" borderId="4">
      <alignment horizontal="right" vertical="center"/>
    </xf>
    <xf numFmtId="49" fontId="13" fillId="0" borderId="4">
      <alignment horizontal="left" vertical="center"/>
    </xf>
    <xf numFmtId="169" fontId="14" fillId="0" borderId="4" applyNumberFormat="0" applyFill="0">
      <alignment horizontal="right"/>
    </xf>
    <xf numFmtId="170" fontId="14" fillId="0" borderId="4">
      <alignment horizontal="right"/>
    </xf>
    <xf numFmtId="0" fontId="1" fillId="0" borderId="0" applyFont="0" applyFill="0" applyBorder="0" applyAlignment="0" applyProtection="0"/>
    <xf numFmtId="2" fontId="1"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4">
      <alignment horizontal="left"/>
    </xf>
    <xf numFmtId="0" fontId="18" fillId="0" borderId="5">
      <alignment horizontal="right" vertical="center"/>
    </xf>
    <xf numFmtId="0" fontId="19" fillId="0" borderId="4">
      <alignment horizontal="left" vertical="center"/>
    </xf>
    <xf numFmtId="0" fontId="14" fillId="0" borderId="4">
      <alignment horizontal="left" vertical="center"/>
    </xf>
    <xf numFmtId="0" fontId="20" fillId="0" borderId="4">
      <alignment horizontal="left"/>
    </xf>
    <xf numFmtId="0" fontId="20" fillId="2" borderId="0">
      <alignment horizontal="centerContinuous" wrapText="1"/>
    </xf>
    <xf numFmtId="49" fontId="20" fillId="2" borderId="6">
      <alignment horizontal="left" vertical="center"/>
    </xf>
    <xf numFmtId="0" fontId="20" fillId="2" borderId="0">
      <alignment horizontal="centerContinuous" vertical="center" wrapText="1"/>
    </xf>
    <xf numFmtId="41" fontId="21" fillId="0" borderId="0" applyFont="0" applyFill="0" applyBorder="0" applyAlignment="0" applyProtection="0"/>
    <xf numFmtId="43" fontId="21" fillId="0" borderId="0" applyFont="0" applyFill="0" applyBorder="0" applyAlignment="0" applyProtection="0"/>
    <xf numFmtId="9" fontId="21" fillId="0" borderId="0" applyFont="0" applyFill="0" applyBorder="0" applyAlignment="0" applyProtection="0"/>
    <xf numFmtId="44" fontId="21" fillId="0" borderId="0" applyFont="0" applyFill="0" applyBorder="0" applyAlignment="0" applyProtection="0"/>
    <xf numFmtId="4" fontId="8" fillId="0" borderId="1" applyFill="0" applyBorder="0" applyProtection="0">
      <alignment horizontal="right" vertical="center"/>
    </xf>
    <xf numFmtId="49" fontId="9" fillId="0" borderId="1" applyNumberFormat="0" applyFill="0" applyBorder="0" applyProtection="0">
      <alignment horizontal="left" vertical="center"/>
    </xf>
    <xf numFmtId="0" fontId="8" fillId="0" borderId="1" applyNumberFormat="0" applyFill="0" applyAlignment="0" applyProtection="0"/>
    <xf numFmtId="0" fontId="22" fillId="3" borderId="0" applyNumberFormat="0" applyFont="0" applyBorder="0" applyAlignment="0" applyProtection="0"/>
    <xf numFmtId="167" fontId="8" fillId="4" borderId="1" applyNumberFormat="0" applyFont="0" applyBorder="0" applyAlignment="0" applyProtection="0">
      <alignment horizontal="right" vertical="center"/>
    </xf>
    <xf numFmtId="9" fontId="1" fillId="0" borderId="0" applyFont="0" applyFill="0" applyBorder="0" applyAlignment="0" applyProtection="0"/>
    <xf numFmtId="3" fontId="12" fillId="0" borderId="0">
      <alignment horizontal="left" vertical="center"/>
    </xf>
    <xf numFmtId="0" fontId="10" fillId="0" borderId="0">
      <alignment horizontal="left" vertical="center"/>
    </xf>
    <xf numFmtId="0" fontId="22" fillId="0" borderId="0">
      <alignment horizontal="right"/>
    </xf>
    <xf numFmtId="49" fontId="22" fillId="0" borderId="0">
      <alignment horizontal="center"/>
    </xf>
    <xf numFmtId="0" fontId="13" fillId="0" borderId="0">
      <alignment horizontal="right"/>
    </xf>
    <xf numFmtId="0" fontId="22" fillId="0" borderId="0">
      <alignment horizontal="left"/>
    </xf>
    <xf numFmtId="0" fontId="8" fillId="0" borderId="0"/>
    <xf numFmtId="49" fontId="12" fillId="0" borderId="0">
      <alignment horizontal="left" vertical="center"/>
    </xf>
    <xf numFmtId="49" fontId="13" fillId="0" borderId="4">
      <alignment horizontal="left" vertical="center"/>
    </xf>
    <xf numFmtId="49" fontId="10" fillId="0" borderId="4" applyFill="0">
      <alignment horizontal="left" vertical="center"/>
    </xf>
    <xf numFmtId="49" fontId="13" fillId="0" borderId="4">
      <alignment horizontal="left"/>
    </xf>
    <xf numFmtId="169" fontId="12" fillId="0" borderId="0" applyNumberFormat="0">
      <alignment horizontal="right"/>
    </xf>
    <xf numFmtId="0" fontId="18" fillId="5" borderId="0">
      <alignment horizontal="centerContinuous" vertical="center" wrapText="1"/>
    </xf>
    <xf numFmtId="0" fontId="18" fillId="0" borderId="7">
      <alignment horizontal="left" vertical="center"/>
    </xf>
    <xf numFmtId="0" fontId="23" fillId="0" borderId="0">
      <alignment horizontal="left" vertical="top"/>
    </xf>
    <xf numFmtId="0" fontId="20" fillId="0" borderId="0">
      <alignment horizontal="left"/>
    </xf>
    <xf numFmtId="0" fontId="11" fillId="0" borderId="0">
      <alignment horizontal="left"/>
    </xf>
    <xf numFmtId="0" fontId="14" fillId="0" borderId="0">
      <alignment horizontal="left"/>
    </xf>
    <xf numFmtId="0" fontId="23" fillId="0" borderId="0">
      <alignment horizontal="left" vertical="top"/>
    </xf>
    <xf numFmtId="0" fontId="11" fillId="0" borderId="0">
      <alignment horizontal="left"/>
    </xf>
    <xf numFmtId="0" fontId="14" fillId="0" borderId="0">
      <alignment horizontal="left"/>
    </xf>
    <xf numFmtId="0" fontId="1" fillId="0" borderId="8" applyNumberFormat="0" applyFont="0" applyFill="0" applyAlignment="0" applyProtection="0"/>
    <xf numFmtId="49" fontId="12" fillId="0" borderId="4">
      <alignment horizontal="left"/>
    </xf>
    <xf numFmtId="0" fontId="18" fillId="0" borderId="5">
      <alignment horizontal="left"/>
    </xf>
    <xf numFmtId="0" fontId="20" fillId="0" borderId="0">
      <alignment horizontal="left" vertical="center"/>
    </xf>
    <xf numFmtId="49" fontId="22" fillId="0" borderId="4">
      <alignment horizontal="left"/>
    </xf>
    <xf numFmtId="0" fontId="8" fillId="0" borderId="0"/>
    <xf numFmtId="0" fontId="1" fillId="0" borderId="0"/>
    <xf numFmtId="0" fontId="42" fillId="0" borderId="0" applyNumberFormat="0" applyFill="0" applyBorder="0" applyAlignment="0" applyProtection="0"/>
    <xf numFmtId="0" fontId="1" fillId="0" borderId="0"/>
    <xf numFmtId="0" fontId="50" fillId="0" borderId="0"/>
    <xf numFmtId="43" fontId="50" fillId="0" borderId="0" applyFont="0" applyFill="0" applyBorder="0" applyAlignment="0" applyProtection="0"/>
  </cellStyleXfs>
  <cellXfs count="1274">
    <xf numFmtId="0" fontId="0" fillId="0" borderId="0" xfId="0"/>
    <xf numFmtId="0" fontId="0" fillId="0" borderId="9" xfId="0" applyBorder="1"/>
    <xf numFmtId="0" fontId="2" fillId="6" borderId="9" xfId="0" applyFont="1" applyFill="1" applyBorder="1"/>
    <xf numFmtId="0" fontId="4" fillId="6" borderId="9" xfId="0" applyFont="1" applyFill="1" applyBorder="1"/>
    <xf numFmtId="0" fontId="5" fillId="6" borderId="9" xfId="0" applyFont="1" applyFill="1" applyBorder="1"/>
    <xf numFmtId="0" fontId="0" fillId="6" borderId="9" xfId="0" applyFill="1" applyBorder="1"/>
    <xf numFmtId="0" fontId="0" fillId="7" borderId="9" xfId="0" applyFill="1" applyBorder="1"/>
    <xf numFmtId="0" fontId="0" fillId="3" borderId="9" xfId="0" applyFill="1" applyBorder="1"/>
    <xf numFmtId="0" fontId="0" fillId="0" borderId="24" xfId="0" applyBorder="1"/>
    <xf numFmtId="0" fontId="2" fillId="0" borderId="12" xfId="0" applyFont="1" applyBorder="1"/>
    <xf numFmtId="0" fontId="0" fillId="0" borderId="26" xfId="0" applyBorder="1"/>
    <xf numFmtId="2" fontId="0" fillId="0" borderId="0" xfId="0" applyNumberFormat="1"/>
    <xf numFmtId="0" fontId="0" fillId="0" borderId="9" xfId="0" applyBorder="1" applyAlignment="1">
      <alignment wrapText="1"/>
    </xf>
    <xf numFmtId="0" fontId="0" fillId="0" borderId="0" xfId="0" applyAlignment="1">
      <alignment wrapText="1"/>
    </xf>
    <xf numFmtId="0" fontId="0" fillId="0" borderId="0" xfId="0" applyAlignment="1">
      <alignment horizontal="center"/>
    </xf>
    <xf numFmtId="4" fontId="0" fillId="7" borderId="1" xfId="0" applyNumberFormat="1" applyFill="1" applyBorder="1" applyAlignment="1" applyProtection="1">
      <alignment horizontal="center" vertical="center"/>
      <protection locked="0"/>
    </xf>
    <xf numFmtId="3" fontId="0" fillId="7" borderId="1" xfId="0" applyNumberFormat="1" applyFill="1" applyBorder="1" applyAlignment="1" applyProtection="1">
      <alignment horizontal="center" vertical="center"/>
      <protection locked="0"/>
    </xf>
    <xf numFmtId="9" fontId="1" fillId="7" borderId="1" xfId="36" applyFill="1" applyBorder="1" applyAlignment="1" applyProtection="1">
      <alignment horizontal="center" vertical="center"/>
      <protection locked="0"/>
    </xf>
    <xf numFmtId="2" fontId="1" fillId="7" borderId="1" xfId="36" applyNumberFormat="1" applyFill="1" applyBorder="1" applyAlignment="1" applyProtection="1">
      <alignment horizontal="center" vertical="center"/>
      <protection locked="0"/>
    </xf>
    <xf numFmtId="3" fontId="5" fillId="3" borderId="1" xfId="0" applyNumberFormat="1" applyFont="1" applyFill="1" applyBorder="1" applyAlignment="1" applyProtection="1">
      <alignment horizontal="center" vertical="center"/>
      <protection locked="0"/>
    </xf>
    <xf numFmtId="4" fontId="5" fillId="3" borderId="1" xfId="0" applyNumberFormat="1" applyFont="1" applyFill="1" applyBorder="1" applyAlignment="1" applyProtection="1">
      <alignment horizontal="center" vertical="center"/>
      <protection locked="0"/>
    </xf>
    <xf numFmtId="4" fontId="0" fillId="7" borderId="3" xfId="0" applyNumberFormat="1" applyFill="1" applyBorder="1" applyAlignment="1" applyProtection="1">
      <alignment horizontal="center" vertical="center"/>
      <protection locked="0"/>
    </xf>
    <xf numFmtId="3" fontId="0" fillId="7" borderId="3" xfId="0" applyNumberFormat="1" applyFill="1" applyBorder="1" applyAlignment="1" applyProtection="1">
      <alignment horizontal="center" vertical="center"/>
      <protection locked="0"/>
    </xf>
    <xf numFmtId="9" fontId="1" fillId="7" borderId="3" xfId="36" applyFill="1" applyBorder="1" applyAlignment="1" applyProtection="1">
      <alignment horizontal="center" vertical="center"/>
      <protection locked="0"/>
    </xf>
    <xf numFmtId="165" fontId="0" fillId="7" borderId="1" xfId="0" applyNumberFormat="1" applyFill="1" applyBorder="1" applyAlignment="1" applyProtection="1">
      <alignment horizontal="center" vertical="center"/>
      <protection locked="0"/>
    </xf>
    <xf numFmtId="0" fontId="0" fillId="6" borderId="12" xfId="0" applyFill="1" applyBorder="1"/>
    <xf numFmtId="0" fontId="0" fillId="0" borderId="44" xfId="0" applyBorder="1"/>
    <xf numFmtId="0" fontId="0" fillId="0" borderId="47" xfId="0" applyBorder="1"/>
    <xf numFmtId="0" fontId="33" fillId="0" borderId="9" xfId="0" applyFont="1" applyBorder="1"/>
    <xf numFmtId="0" fontId="0" fillId="0" borderId="51" xfId="0" applyBorder="1"/>
    <xf numFmtId="0" fontId="0" fillId="0" borderId="62" xfId="0" applyBorder="1"/>
    <xf numFmtId="0" fontId="0" fillId="8" borderId="14" xfId="0" applyFill="1" applyBorder="1" applyAlignment="1">
      <alignment wrapText="1"/>
    </xf>
    <xf numFmtId="0" fontId="0" fillId="6" borderId="0" xfId="0" applyFill="1"/>
    <xf numFmtId="0" fontId="0" fillId="6" borderId="0" xfId="0" applyFill="1" applyAlignment="1">
      <alignment wrapText="1"/>
    </xf>
    <xf numFmtId="2" fontId="0" fillId="6" borderId="0" xfId="0" applyNumberFormat="1" applyFill="1" applyAlignment="1">
      <alignment wrapText="1"/>
    </xf>
    <xf numFmtId="0" fontId="1" fillId="6" borderId="1" xfId="0" applyFont="1" applyFill="1" applyBorder="1" applyAlignment="1" applyProtection="1">
      <alignment horizontal="center" vertical="center"/>
      <protection locked="0"/>
    </xf>
    <xf numFmtId="0" fontId="1" fillId="6" borderId="0" xfId="0" applyFont="1" applyFill="1" applyAlignment="1" applyProtection="1">
      <alignment horizontal="left"/>
      <protection locked="0"/>
    </xf>
    <xf numFmtId="0" fontId="0" fillId="6" borderId="0" xfId="0" applyFill="1" applyProtection="1">
      <protection locked="0"/>
    </xf>
    <xf numFmtId="2" fontId="0" fillId="6" borderId="0" xfId="0" applyNumberFormat="1" applyFill="1" applyProtection="1">
      <protection locked="0"/>
    </xf>
    <xf numFmtId="0" fontId="28" fillId="6" borderId="0" xfId="0" applyFont="1" applyFill="1" applyAlignment="1" applyProtection="1">
      <alignment horizontal="left"/>
      <protection locked="0"/>
    </xf>
    <xf numFmtId="0" fontId="1" fillId="6" borderId="3" xfId="0" applyFont="1" applyFill="1" applyBorder="1" applyAlignment="1" applyProtection="1">
      <alignment horizontal="center" vertical="center"/>
      <protection locked="0"/>
    </xf>
    <xf numFmtId="4" fontId="5" fillId="6" borderId="0" xfId="0" applyNumberFormat="1" applyFont="1" applyFill="1" applyAlignment="1">
      <alignment horizontal="center" vertical="center"/>
    </xf>
    <xf numFmtId="4" fontId="5" fillId="6" borderId="0" xfId="0" applyNumberFormat="1" applyFont="1" applyFill="1" applyAlignment="1">
      <alignment horizontal="center" vertical="center" wrapText="1"/>
    </xf>
    <xf numFmtId="4" fontId="0" fillId="6" borderId="0" xfId="0" applyNumberFormat="1" applyFill="1" applyAlignment="1">
      <alignment horizontal="center" vertical="center" wrapText="1"/>
    </xf>
    <xf numFmtId="3" fontId="0" fillId="6" borderId="0" xfId="0" applyNumberFormat="1" applyFill="1" applyAlignment="1" applyProtection="1">
      <alignment horizontal="center" vertical="center" wrapText="1"/>
      <protection locked="0"/>
    </xf>
    <xf numFmtId="2" fontId="0" fillId="6" borderId="0" xfId="0" applyNumberFormat="1" applyFill="1" applyAlignment="1" applyProtection="1">
      <alignment horizontal="center" vertical="center" wrapText="1"/>
      <protection locked="0"/>
    </xf>
    <xf numFmtId="4" fontId="5" fillId="8" borderId="1" xfId="0" applyNumberFormat="1" applyFont="1" applyFill="1" applyBorder="1" applyAlignment="1">
      <alignment horizontal="center" vertical="center"/>
    </xf>
    <xf numFmtId="4" fontId="5" fillId="8" borderId="75" xfId="0" applyNumberFormat="1" applyFont="1" applyFill="1" applyBorder="1" applyAlignment="1">
      <alignment horizontal="center" vertical="center"/>
    </xf>
    <xf numFmtId="4" fontId="5" fillId="8" borderId="1" xfId="0" applyNumberFormat="1" applyFont="1" applyFill="1" applyBorder="1" applyAlignment="1">
      <alignment horizontal="center" vertical="center" wrapText="1"/>
    </xf>
    <xf numFmtId="2" fontId="0" fillId="8" borderId="76" xfId="0" applyNumberFormat="1" applyFill="1" applyBorder="1" applyAlignment="1">
      <alignment horizontal="center" vertical="center" wrapText="1"/>
    </xf>
    <xf numFmtId="4" fontId="0" fillId="8" borderId="76" xfId="0" applyNumberFormat="1" applyFill="1" applyBorder="1" applyAlignment="1">
      <alignment horizontal="center" vertical="center" wrapText="1"/>
    </xf>
    <xf numFmtId="4" fontId="0" fillId="8" borderId="1" xfId="0" applyNumberFormat="1" applyFill="1" applyBorder="1" applyAlignment="1">
      <alignment horizontal="center" vertical="center" wrapText="1"/>
    </xf>
    <xf numFmtId="2" fontId="0" fillId="7" borderId="1" xfId="0" applyNumberFormat="1" applyFill="1" applyBorder="1" applyAlignment="1" applyProtection="1">
      <alignment horizontal="center" vertical="center" wrapText="1"/>
      <protection locked="0"/>
    </xf>
    <xf numFmtId="2" fontId="0" fillId="7" borderId="3" xfId="0" applyNumberFormat="1" applyFill="1" applyBorder="1" applyAlignment="1" applyProtection="1">
      <alignment horizontal="center" vertical="center" wrapText="1"/>
      <protection locked="0"/>
    </xf>
    <xf numFmtId="2" fontId="0" fillId="6" borderId="2" xfId="0" applyNumberFormat="1" applyFill="1" applyBorder="1"/>
    <xf numFmtId="0" fontId="31" fillId="6" borderId="0" xfId="0" applyFont="1" applyFill="1"/>
    <xf numFmtId="0" fontId="1" fillId="6" borderId="2" xfId="0" applyFont="1" applyFill="1" applyBorder="1" applyAlignment="1" applyProtection="1">
      <alignment horizontal="center" vertical="center"/>
      <protection locked="0"/>
    </xf>
    <xf numFmtId="0" fontId="1" fillId="6" borderId="18" xfId="0" applyFont="1" applyFill="1" applyBorder="1" applyAlignment="1" applyProtection="1">
      <alignment horizontal="center" vertical="center"/>
      <protection locked="0"/>
    </xf>
    <xf numFmtId="2" fontId="5" fillId="8" borderId="2" xfId="0" applyNumberFormat="1" applyFont="1" applyFill="1" applyBorder="1" applyAlignment="1">
      <alignment horizontal="center" vertical="center"/>
    </xf>
    <xf numFmtId="4" fontId="5" fillId="8" borderId="79" xfId="0" applyNumberFormat="1" applyFont="1" applyFill="1" applyBorder="1" applyAlignment="1">
      <alignment horizontal="center" vertical="center" wrapText="1"/>
    </xf>
    <xf numFmtId="2" fontId="0" fillId="8" borderId="81" xfId="0" applyNumberFormat="1" applyFill="1" applyBorder="1" applyAlignment="1">
      <alignment horizontal="center" vertical="center" wrapText="1"/>
    </xf>
    <xf numFmtId="4" fontId="0" fillId="8" borderId="79" xfId="0" applyNumberFormat="1" applyFill="1" applyBorder="1" applyAlignment="1">
      <alignment horizontal="center" vertical="center" wrapText="1"/>
    </xf>
    <xf numFmtId="4" fontId="0" fillId="7" borderId="21" xfId="0" applyNumberFormat="1" applyFill="1" applyBorder="1" applyAlignment="1" applyProtection="1">
      <alignment horizontal="center" vertical="center"/>
      <protection locked="0"/>
    </xf>
    <xf numFmtId="2" fontId="1" fillId="7" borderId="21" xfId="36" applyNumberFormat="1" applyFill="1" applyBorder="1" applyAlignment="1" applyProtection="1">
      <alignment horizontal="center" vertical="center"/>
      <protection locked="0"/>
    </xf>
    <xf numFmtId="4" fontId="5" fillId="8" borderId="74" xfId="0" applyNumberFormat="1" applyFont="1" applyFill="1" applyBorder="1" applyAlignment="1">
      <alignment horizontal="center" vertical="center" wrapText="1"/>
    </xf>
    <xf numFmtId="4" fontId="0" fillId="8" borderId="78" xfId="0" applyNumberFormat="1" applyFill="1" applyBorder="1" applyAlignment="1">
      <alignment horizontal="center" vertical="center" wrapText="1"/>
    </xf>
    <xf numFmtId="4" fontId="5" fillId="8" borderId="58" xfId="0" applyNumberFormat="1" applyFont="1" applyFill="1" applyBorder="1" applyAlignment="1">
      <alignment horizontal="center" vertical="center"/>
    </xf>
    <xf numFmtId="4" fontId="5" fillId="8" borderId="83" xfId="0" applyNumberFormat="1" applyFont="1" applyFill="1" applyBorder="1" applyAlignment="1">
      <alignment horizontal="center" vertical="center" wrapText="1"/>
    </xf>
    <xf numFmtId="4" fontId="0" fillId="8" borderId="84" xfId="0" applyNumberFormat="1" applyFill="1" applyBorder="1" applyAlignment="1">
      <alignment horizontal="center" vertical="center" wrapText="1"/>
    </xf>
    <xf numFmtId="2" fontId="1" fillId="7" borderId="79" xfId="36" applyNumberFormat="1" applyFill="1" applyBorder="1" applyAlignment="1" applyProtection="1">
      <alignment horizontal="center" vertical="center"/>
      <protection locked="0"/>
    </xf>
    <xf numFmtId="2" fontId="1" fillId="7" borderId="35" xfId="36" applyNumberFormat="1" applyFill="1" applyBorder="1" applyAlignment="1" applyProtection="1">
      <alignment horizontal="center" vertical="center"/>
      <protection locked="0"/>
    </xf>
    <xf numFmtId="4" fontId="5" fillId="8" borderId="74" xfId="0" applyNumberFormat="1" applyFont="1" applyFill="1" applyBorder="1" applyAlignment="1">
      <alignment horizontal="center" vertical="center"/>
    </xf>
    <xf numFmtId="4" fontId="5" fillId="8" borderId="79" xfId="0" applyNumberFormat="1" applyFont="1" applyFill="1" applyBorder="1" applyAlignment="1">
      <alignment horizontal="center" vertical="center"/>
    </xf>
    <xf numFmtId="2" fontId="0" fillId="8" borderId="84" xfId="0" applyNumberFormat="1" applyFill="1" applyBorder="1" applyAlignment="1">
      <alignment horizontal="center" vertical="center" wrapText="1"/>
    </xf>
    <xf numFmtId="4" fontId="5" fillId="8" borderId="77" xfId="0" applyNumberFormat="1" applyFont="1" applyFill="1" applyBorder="1" applyAlignment="1">
      <alignment horizontal="center" vertical="center"/>
    </xf>
    <xf numFmtId="2" fontId="0" fillId="8" borderId="78" xfId="0" applyNumberFormat="1" applyFill="1" applyBorder="1" applyAlignment="1">
      <alignment horizontal="center" vertical="center" wrapText="1"/>
    </xf>
    <xf numFmtId="2" fontId="5" fillId="8" borderId="79" xfId="0" applyNumberFormat="1" applyFont="1" applyFill="1" applyBorder="1" applyAlignment="1">
      <alignment horizontal="center" vertical="center"/>
    </xf>
    <xf numFmtId="2" fontId="0" fillId="8" borderId="18" xfId="0" applyNumberFormat="1" applyFill="1" applyBorder="1" applyAlignment="1">
      <alignment horizontal="center" vertical="center" wrapText="1"/>
    </xf>
    <xf numFmtId="2" fontId="0" fillId="8" borderId="35" xfId="0" applyNumberFormat="1" applyFill="1" applyBorder="1" applyAlignment="1">
      <alignment horizontal="center" vertical="center" wrapText="1"/>
    </xf>
    <xf numFmtId="2" fontId="0" fillId="8" borderId="82" xfId="0" applyNumberFormat="1" applyFill="1" applyBorder="1" applyAlignment="1">
      <alignment horizontal="center" vertical="center" wrapText="1"/>
    </xf>
    <xf numFmtId="2" fontId="0" fillId="8" borderId="21" xfId="0" applyNumberFormat="1" applyFill="1" applyBorder="1" applyAlignment="1">
      <alignment horizontal="center" vertical="center" wrapText="1"/>
    </xf>
    <xf numFmtId="4" fontId="0" fillId="8" borderId="82" xfId="0" applyNumberFormat="1" applyFill="1" applyBorder="1" applyAlignment="1">
      <alignment horizontal="center" vertical="center" wrapText="1"/>
    </xf>
    <xf numFmtId="4" fontId="0" fillId="8" borderId="21" xfId="0" applyNumberFormat="1" applyFill="1" applyBorder="1" applyAlignment="1">
      <alignment horizontal="center" vertical="center" wrapText="1"/>
    </xf>
    <xf numFmtId="9" fontId="1" fillId="8" borderId="35" xfId="36" applyFill="1" applyBorder="1" applyAlignment="1">
      <alignment horizontal="center" vertical="center" wrapText="1"/>
    </xf>
    <xf numFmtId="3" fontId="0" fillId="8" borderId="35" xfId="0" applyNumberFormat="1" applyFill="1" applyBorder="1" applyAlignment="1">
      <alignment horizontal="center" vertical="center" wrapText="1"/>
    </xf>
    <xf numFmtId="2" fontId="5" fillId="8" borderId="85" xfId="0" applyNumberFormat="1" applyFont="1" applyFill="1" applyBorder="1" applyAlignment="1">
      <alignment horizontal="center" vertical="center"/>
    </xf>
    <xf numFmtId="4" fontId="5" fillId="8" borderId="85" xfId="0" applyNumberFormat="1" applyFont="1" applyFill="1" applyBorder="1" applyAlignment="1">
      <alignment horizontal="center" vertical="center"/>
    </xf>
    <xf numFmtId="4" fontId="5" fillId="8" borderId="86" xfId="0" applyNumberFormat="1" applyFont="1" applyFill="1" applyBorder="1" applyAlignment="1">
      <alignment horizontal="center" vertical="center"/>
    </xf>
    <xf numFmtId="4" fontId="5" fillId="8" borderId="86" xfId="0" applyNumberFormat="1" applyFont="1" applyFill="1" applyBorder="1" applyAlignment="1">
      <alignment horizontal="center" vertical="center" wrapText="1"/>
    </xf>
    <xf numFmtId="4" fontId="5" fillId="8" borderId="58" xfId="0" applyNumberFormat="1" applyFont="1" applyFill="1" applyBorder="1" applyAlignment="1">
      <alignment horizontal="center" vertical="center" wrapText="1"/>
    </xf>
    <xf numFmtId="2" fontId="0" fillId="7" borderId="21" xfId="0" applyNumberFormat="1" applyFill="1" applyBorder="1" applyAlignment="1" applyProtection="1">
      <alignment horizontal="center" vertical="center" wrapText="1"/>
      <protection locked="0"/>
    </xf>
    <xf numFmtId="3" fontId="0" fillId="7" borderId="21" xfId="0" applyNumberFormat="1" applyFill="1" applyBorder="1" applyAlignment="1" applyProtection="1">
      <alignment horizontal="center" vertical="center"/>
      <protection locked="0"/>
    </xf>
    <xf numFmtId="9" fontId="1" fillId="7" borderId="21" xfId="36" applyFill="1" applyBorder="1" applyAlignment="1" applyProtection="1">
      <alignment horizontal="center" vertical="center"/>
      <protection locked="0"/>
    </xf>
    <xf numFmtId="9" fontId="1" fillId="8" borderId="76" xfId="36" applyFill="1" applyBorder="1" applyAlignment="1">
      <alignment horizontal="center" vertical="center" wrapText="1"/>
    </xf>
    <xf numFmtId="3" fontId="0" fillId="8" borderId="84" xfId="0" applyNumberFormat="1" applyFill="1" applyBorder="1" applyAlignment="1">
      <alignment horizontal="center" vertical="center" wrapText="1"/>
    </xf>
    <xf numFmtId="0" fontId="1" fillId="6" borderId="87" xfId="0" applyFont="1" applyFill="1" applyBorder="1" applyAlignment="1" applyProtection="1">
      <alignment horizontal="center" vertical="center"/>
      <protection locked="0"/>
    </xf>
    <xf numFmtId="2" fontId="1" fillId="7" borderId="3" xfId="36" applyNumberFormat="1" applyFill="1" applyBorder="1" applyAlignment="1" applyProtection="1">
      <alignment horizontal="center" vertical="center"/>
      <protection locked="0"/>
    </xf>
    <xf numFmtId="4" fontId="5" fillId="8" borderId="89" xfId="0" applyNumberFormat="1" applyFont="1" applyFill="1" applyBorder="1" applyAlignment="1">
      <alignment horizontal="center" vertical="center"/>
    </xf>
    <xf numFmtId="4" fontId="5" fillId="8" borderId="54" xfId="0" applyNumberFormat="1" applyFont="1" applyFill="1" applyBorder="1" applyAlignment="1">
      <alignment horizontal="center" vertical="center"/>
    </xf>
    <xf numFmtId="4" fontId="5" fillId="8" borderId="93" xfId="0" applyNumberFormat="1" applyFont="1" applyFill="1" applyBorder="1" applyAlignment="1">
      <alignment horizontal="center" vertical="center" wrapText="1"/>
    </xf>
    <xf numFmtId="4" fontId="0" fillId="8" borderId="81" xfId="0" applyNumberFormat="1" applyFill="1" applyBorder="1" applyAlignment="1">
      <alignment horizontal="center" vertical="center" wrapText="1"/>
    </xf>
    <xf numFmtId="3" fontId="0" fillId="7" borderId="2" xfId="0" applyNumberFormat="1" applyFill="1" applyBorder="1" applyAlignment="1" applyProtection="1">
      <alignment horizontal="center" vertical="center" wrapText="1"/>
      <protection locked="0"/>
    </xf>
    <xf numFmtId="4" fontId="0" fillId="6" borderId="79" xfId="0" applyNumberFormat="1" applyFill="1" applyBorder="1" applyAlignment="1" applyProtection="1">
      <alignment horizontal="center" vertical="center" wrapText="1"/>
      <protection locked="0"/>
    </xf>
    <xf numFmtId="3" fontId="0" fillId="7" borderId="18" xfId="0" applyNumberFormat="1" applyFill="1" applyBorder="1" applyAlignment="1" applyProtection="1">
      <alignment horizontal="center" vertical="center" wrapText="1"/>
      <protection locked="0"/>
    </xf>
    <xf numFmtId="4" fontId="0" fillId="6" borderId="35" xfId="0" applyNumberFormat="1" applyFill="1" applyBorder="1" applyAlignment="1" applyProtection="1">
      <alignment horizontal="center" vertical="center" wrapText="1"/>
      <protection locked="0"/>
    </xf>
    <xf numFmtId="3" fontId="0" fillId="8" borderId="76" xfId="0" applyNumberFormat="1" applyFill="1" applyBorder="1" applyAlignment="1">
      <alignment horizontal="center" vertical="center" wrapText="1"/>
    </xf>
    <xf numFmtId="3" fontId="0" fillId="7" borderId="87" xfId="0" applyNumberFormat="1" applyFill="1" applyBorder="1" applyAlignment="1" applyProtection="1">
      <alignment horizontal="center" vertical="center" wrapText="1"/>
      <protection locked="0"/>
    </xf>
    <xf numFmtId="4" fontId="0" fillId="6" borderId="88" xfId="0" applyNumberFormat="1" applyFill="1" applyBorder="1" applyAlignment="1" applyProtection="1">
      <alignment horizontal="center" vertical="center" wrapText="1"/>
      <protection locked="0"/>
    </xf>
    <xf numFmtId="2" fontId="1" fillId="7" borderId="88" xfId="36" applyNumberFormat="1" applyFill="1" applyBorder="1" applyAlignment="1" applyProtection="1">
      <alignment horizontal="center" vertical="center"/>
      <protection locked="0"/>
    </xf>
    <xf numFmtId="0" fontId="0" fillId="0" borderId="1" xfId="0" applyBorder="1"/>
    <xf numFmtId="0" fontId="0" fillId="0" borderId="21" xfId="0" applyBorder="1"/>
    <xf numFmtId="4" fontId="5" fillId="8" borderId="113" xfId="0" applyNumberFormat="1" applyFont="1" applyFill="1" applyBorder="1" applyAlignment="1">
      <alignment horizontal="center" vertical="center"/>
    </xf>
    <xf numFmtId="4" fontId="5" fillId="8" borderId="56" xfId="0" applyNumberFormat="1" applyFont="1" applyFill="1" applyBorder="1" applyAlignment="1">
      <alignment horizontal="center" vertical="center"/>
    </xf>
    <xf numFmtId="4" fontId="5" fillId="8" borderId="112" xfId="0" applyNumberFormat="1" applyFont="1" applyFill="1" applyBorder="1" applyAlignment="1">
      <alignment horizontal="center" vertical="center"/>
    </xf>
    <xf numFmtId="4" fontId="5" fillId="8" borderId="118" xfId="0" applyNumberFormat="1" applyFont="1" applyFill="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8" borderId="16" xfId="0" applyFill="1" applyBorder="1" applyAlignment="1">
      <alignment vertical="center" wrapText="1"/>
    </xf>
    <xf numFmtId="0" fontId="0" fillId="0" borderId="11" xfId="0" applyBorder="1" applyAlignment="1">
      <alignment wrapText="1"/>
    </xf>
    <xf numFmtId="0" fontId="0" fillId="6" borderId="0" xfId="0" applyFill="1" applyAlignment="1">
      <alignment vertical="center"/>
    </xf>
    <xf numFmtId="0" fontId="5" fillId="6" borderId="0" xfId="0" applyFont="1" applyFill="1" applyAlignment="1" applyProtection="1">
      <alignment vertical="center"/>
      <protection locked="0"/>
    </xf>
    <xf numFmtId="0" fontId="2" fillId="6" borderId="0" xfId="0" applyFont="1" applyFill="1" applyAlignment="1" applyProtection="1">
      <alignment horizontal="right" vertical="center" wrapText="1"/>
      <protection locked="0"/>
    </xf>
    <xf numFmtId="0" fontId="0" fillId="6" borderId="0" xfId="0" applyFill="1" applyAlignment="1" applyProtection="1">
      <alignment vertical="center"/>
      <protection locked="0"/>
    </xf>
    <xf numFmtId="0" fontId="2" fillId="6" borderId="0" xfId="0" applyFont="1" applyFill="1" applyAlignment="1">
      <alignment horizontal="right" vertical="center" wrapText="1"/>
    </xf>
    <xf numFmtId="4" fontId="1" fillId="8" borderId="76" xfId="0" applyNumberFormat="1" applyFont="1" applyFill="1" applyBorder="1" applyAlignment="1">
      <alignment horizontal="center" vertical="center" wrapText="1"/>
    </xf>
    <xf numFmtId="0" fontId="0" fillId="9" borderId="9" xfId="0" applyFill="1" applyBorder="1"/>
    <xf numFmtId="0" fontId="0" fillId="9" borderId="130" xfId="0" applyFill="1" applyBorder="1" applyAlignment="1" applyProtection="1">
      <alignment horizontal="center" vertical="center"/>
      <protection locked="0"/>
    </xf>
    <xf numFmtId="4" fontId="0" fillId="9" borderId="131" xfId="0" applyNumberFormat="1" applyFill="1" applyBorder="1" applyAlignment="1" applyProtection="1">
      <alignment horizontal="center" vertical="center"/>
      <protection locked="0"/>
    </xf>
    <xf numFmtId="2" fontId="0" fillId="9" borderId="131" xfId="0" applyNumberFormat="1" applyFill="1" applyBorder="1" applyAlignment="1" applyProtection="1">
      <alignment horizontal="center" vertical="center" wrapText="1"/>
      <protection locked="0"/>
    </xf>
    <xf numFmtId="164" fontId="0" fillId="9" borderId="131" xfId="0" applyNumberFormat="1" applyFill="1" applyBorder="1" applyAlignment="1" applyProtection="1">
      <alignment horizontal="center" vertical="center" wrapText="1"/>
      <protection locked="0"/>
    </xf>
    <xf numFmtId="1" fontId="0" fillId="9" borderId="131" xfId="0" applyNumberFormat="1" applyFill="1" applyBorder="1" applyAlignment="1" applyProtection="1">
      <alignment horizontal="center" vertical="center" wrapText="1"/>
      <protection locked="0"/>
    </xf>
    <xf numFmtId="9" fontId="1" fillId="9" borderId="131" xfId="36" applyFont="1" applyFill="1" applyBorder="1" applyAlignment="1" applyProtection="1">
      <alignment horizontal="center" vertical="center" wrapText="1"/>
      <protection locked="0"/>
    </xf>
    <xf numFmtId="2" fontId="1" fillId="9" borderId="131" xfId="36" applyNumberFormat="1" applyFont="1" applyFill="1" applyBorder="1" applyAlignment="1" applyProtection="1">
      <alignment horizontal="center" vertical="center" wrapText="1"/>
      <protection locked="0"/>
    </xf>
    <xf numFmtId="3" fontId="0" fillId="9" borderId="131" xfId="0" applyNumberFormat="1" applyFill="1" applyBorder="1" applyAlignment="1" applyProtection="1">
      <alignment horizontal="center" vertical="center" wrapText="1"/>
      <protection locked="0"/>
    </xf>
    <xf numFmtId="4" fontId="0" fillId="9" borderId="132" xfId="0" applyNumberFormat="1" applyFill="1" applyBorder="1" applyAlignment="1" applyProtection="1">
      <alignment horizontal="center" vertical="center" wrapText="1"/>
      <protection locked="0"/>
    </xf>
    <xf numFmtId="3" fontId="0" fillId="9" borderId="130" xfId="0" applyNumberFormat="1" applyFill="1" applyBorder="1" applyAlignment="1" applyProtection="1">
      <alignment horizontal="center" vertical="center" wrapText="1"/>
      <protection locked="0"/>
    </xf>
    <xf numFmtId="4" fontId="0" fillId="9" borderId="131" xfId="0" applyNumberFormat="1" applyFill="1" applyBorder="1" applyAlignment="1" applyProtection="1">
      <alignment horizontal="center" vertical="center" wrapText="1"/>
      <protection locked="0"/>
    </xf>
    <xf numFmtId="166" fontId="1" fillId="9" borderId="131" xfId="36" applyNumberFormat="1" applyFill="1" applyBorder="1" applyAlignment="1" applyProtection="1">
      <alignment horizontal="center" vertical="center" wrapText="1"/>
      <protection locked="0"/>
    </xf>
    <xf numFmtId="166" fontId="1" fillId="9" borderId="132" xfId="36" applyNumberFormat="1" applyFont="1" applyFill="1" applyBorder="1" applyAlignment="1" applyProtection="1">
      <alignment horizontal="center" vertical="center" wrapText="1"/>
      <protection locked="0"/>
    </xf>
    <xf numFmtId="0" fontId="1" fillId="9" borderId="131" xfId="0" applyFont="1" applyFill="1" applyBorder="1" applyAlignment="1" applyProtection="1">
      <alignment vertical="center"/>
      <protection locked="0"/>
    </xf>
    <xf numFmtId="2" fontId="0" fillId="8" borderId="110" xfId="0" applyNumberFormat="1" applyFill="1" applyBorder="1" applyAlignment="1">
      <alignment vertical="center"/>
    </xf>
    <xf numFmtId="2" fontId="5" fillId="8" borderId="55" xfId="0" applyNumberFormat="1" applyFont="1" applyFill="1" applyBorder="1" applyAlignment="1">
      <alignment horizontal="center" vertical="center"/>
    </xf>
    <xf numFmtId="9" fontId="1" fillId="8" borderId="21" xfId="36" applyFill="1" applyBorder="1" applyAlignment="1">
      <alignment horizontal="center" vertical="center" wrapText="1"/>
    </xf>
    <xf numFmtId="2" fontId="1" fillId="8" borderId="21" xfId="0" applyNumberFormat="1" applyFont="1" applyFill="1" applyBorder="1" applyAlignment="1">
      <alignment horizontal="center" vertical="center" wrapText="1"/>
    </xf>
    <xf numFmtId="2" fontId="1" fillId="9" borderId="132" xfId="0" applyNumberFormat="1" applyFont="1" applyFill="1" applyBorder="1" applyAlignment="1" applyProtection="1">
      <alignment vertical="center"/>
      <protection locked="0"/>
    </xf>
    <xf numFmtId="2" fontId="1" fillId="9" borderId="131" xfId="0" applyNumberFormat="1" applyFont="1" applyFill="1" applyBorder="1" applyAlignment="1" applyProtection="1">
      <alignment horizontal="center" vertical="center" wrapText="1"/>
      <protection locked="0"/>
    </xf>
    <xf numFmtId="1" fontId="1" fillId="9" borderId="131" xfId="0" applyNumberFormat="1" applyFont="1" applyFill="1" applyBorder="1" applyAlignment="1" applyProtection="1">
      <alignment horizontal="center" vertical="center" wrapText="1"/>
      <protection locked="0"/>
    </xf>
    <xf numFmtId="4" fontId="1" fillId="9" borderId="131" xfId="0" applyNumberFormat="1" applyFont="1" applyFill="1" applyBorder="1" applyAlignment="1" applyProtection="1">
      <alignment horizontal="center" vertical="center"/>
      <protection locked="0"/>
    </xf>
    <xf numFmtId="172" fontId="0" fillId="9" borderId="131" xfId="0" applyNumberFormat="1" applyFill="1" applyBorder="1" applyAlignment="1" applyProtection="1">
      <alignment horizontal="center" vertical="center" wrapText="1"/>
      <protection locked="0"/>
    </xf>
    <xf numFmtId="172" fontId="0" fillId="7" borderId="3" xfId="0" applyNumberFormat="1" applyFill="1" applyBorder="1" applyAlignment="1" applyProtection="1">
      <alignment horizontal="center" vertical="center"/>
      <protection locked="0"/>
    </xf>
    <xf numFmtId="172" fontId="0" fillId="7" borderId="1" xfId="0" applyNumberFormat="1" applyFill="1" applyBorder="1" applyAlignment="1" applyProtection="1">
      <alignment horizontal="center" vertical="center"/>
      <protection locked="0"/>
    </xf>
    <xf numFmtId="172" fontId="0" fillId="7" borderId="21" xfId="0" applyNumberFormat="1" applyFill="1" applyBorder="1" applyAlignment="1" applyProtection="1">
      <alignment horizontal="center" vertical="center"/>
      <protection locked="0"/>
    </xf>
    <xf numFmtId="165" fontId="0" fillId="9" borderId="131" xfId="0" applyNumberFormat="1" applyFill="1" applyBorder="1" applyAlignment="1" applyProtection="1">
      <alignment horizontal="center" vertical="center" wrapText="1"/>
      <protection locked="0"/>
    </xf>
    <xf numFmtId="3" fontId="1" fillId="9" borderId="130" xfId="0" applyNumberFormat="1" applyFont="1" applyFill="1" applyBorder="1" applyAlignment="1" applyProtection="1">
      <alignment horizontal="center" vertical="center" wrapText="1"/>
      <protection locked="0"/>
    </xf>
    <xf numFmtId="0" fontId="4" fillId="0" borderId="0" xfId="0" applyFont="1"/>
    <xf numFmtId="0" fontId="0" fillId="0" borderId="133" xfId="0" applyBorder="1"/>
    <xf numFmtId="165" fontId="0" fillId="0" borderId="62" xfId="0" applyNumberFormat="1" applyBorder="1"/>
    <xf numFmtId="0" fontId="0" fillId="0" borderId="0" xfId="0" applyAlignment="1">
      <alignment horizontal="center" vertical="center"/>
    </xf>
    <xf numFmtId="0" fontId="1" fillId="0" borderId="0" xfId="0" applyFont="1" applyAlignment="1">
      <alignment vertical="center"/>
    </xf>
    <xf numFmtId="2" fontId="27" fillId="6" borderId="0" xfId="0" applyNumberFormat="1" applyFont="1" applyFill="1"/>
    <xf numFmtId="164" fontId="0" fillId="7" borderId="90" xfId="0" applyNumberFormat="1" applyFill="1" applyBorder="1" applyAlignment="1" applyProtection="1">
      <alignment horizontal="center" vertical="center"/>
      <protection locked="0"/>
    </xf>
    <xf numFmtId="164" fontId="0" fillId="7" borderId="77" xfId="0" applyNumberFormat="1" applyFill="1" applyBorder="1" applyAlignment="1" applyProtection="1">
      <alignment horizontal="center" vertical="center"/>
      <protection locked="0"/>
    </xf>
    <xf numFmtId="164" fontId="0" fillId="7" borderId="82" xfId="0" applyNumberFormat="1" applyFill="1" applyBorder="1" applyAlignment="1" applyProtection="1">
      <alignment horizontal="center" vertical="center"/>
      <protection locked="0"/>
    </xf>
    <xf numFmtId="164" fontId="0" fillId="7" borderId="3" xfId="0" applyNumberFormat="1" applyFill="1" applyBorder="1" applyAlignment="1" applyProtection="1">
      <alignment horizontal="center" vertical="center"/>
      <protection locked="0"/>
    </xf>
    <xf numFmtId="164" fontId="0" fillId="7" borderId="1" xfId="0" applyNumberFormat="1" applyFill="1" applyBorder="1" applyAlignment="1" applyProtection="1">
      <alignment horizontal="center" vertical="center"/>
      <protection locked="0"/>
    </xf>
    <xf numFmtId="164" fontId="0" fillId="7" borderId="21" xfId="0" applyNumberFormat="1" applyFill="1" applyBorder="1" applyAlignment="1" applyProtection="1">
      <alignment horizontal="center" vertical="center"/>
      <protection locked="0"/>
    </xf>
    <xf numFmtId="165" fontId="1" fillId="9" borderId="131" xfId="36" applyNumberFormat="1" applyFont="1" applyFill="1" applyBorder="1" applyAlignment="1" applyProtection="1">
      <alignment horizontal="center" vertical="center" wrapText="1"/>
      <protection locked="0"/>
    </xf>
    <xf numFmtId="165" fontId="1" fillId="9" borderId="131" xfId="0" applyNumberFormat="1" applyFont="1" applyFill="1" applyBorder="1" applyAlignment="1" applyProtection="1">
      <alignment horizontal="center" vertical="center" wrapText="1"/>
      <protection locked="0"/>
    </xf>
    <xf numFmtId="167" fontId="0" fillId="9" borderId="131" xfId="0" applyNumberFormat="1" applyFill="1" applyBorder="1" applyAlignment="1" applyProtection="1">
      <alignment horizontal="center" vertical="center" wrapText="1"/>
      <protection locked="0"/>
    </xf>
    <xf numFmtId="167" fontId="0" fillId="9" borderId="132" xfId="0" applyNumberFormat="1" applyFill="1" applyBorder="1" applyAlignment="1" applyProtection="1">
      <alignment horizontal="center" vertical="center" wrapText="1"/>
      <protection locked="0"/>
    </xf>
    <xf numFmtId="0" fontId="5" fillId="6" borderId="0" xfId="0" applyFont="1" applyFill="1" applyAlignment="1" applyProtection="1">
      <alignment horizontal="left"/>
      <protection locked="0"/>
    </xf>
    <xf numFmtId="0" fontId="0" fillId="0" borderId="12" xfId="0" applyBorder="1" applyAlignment="1">
      <alignment wrapText="1"/>
    </xf>
    <xf numFmtId="0" fontId="0" fillId="8" borderId="1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22" xfId="0"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0" fillId="0" borderId="9" xfId="0" applyBorder="1" applyAlignment="1">
      <alignment horizontal="center"/>
    </xf>
    <xf numFmtId="0" fontId="4" fillId="6" borderId="9" xfId="0" applyFont="1" applyFill="1" applyBorder="1" applyAlignment="1">
      <alignment horizontal="center"/>
    </xf>
    <xf numFmtId="0" fontId="0" fillId="6" borderId="9" xfId="0" applyFill="1"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37" fillId="9" borderId="98" xfId="0" applyFont="1" applyFill="1" applyBorder="1" applyAlignment="1">
      <alignment vertical="center"/>
    </xf>
    <xf numFmtId="0" fontId="37" fillId="9" borderId="99" xfId="0" applyFont="1" applyFill="1" applyBorder="1" applyAlignment="1">
      <alignment vertical="center"/>
    </xf>
    <xf numFmtId="0" fontId="37" fillId="9" borderId="100" xfId="0" applyFont="1" applyFill="1" applyBorder="1" applyAlignment="1">
      <alignment vertical="center"/>
    </xf>
    <xf numFmtId="0" fontId="37" fillId="9" borderId="85" xfId="0" applyFont="1" applyFill="1" applyBorder="1" applyAlignment="1">
      <alignment vertical="center"/>
    </xf>
    <xf numFmtId="0" fontId="37" fillId="9" borderId="58" xfId="0" applyFont="1" applyFill="1" applyBorder="1" applyAlignment="1">
      <alignment vertical="center"/>
    </xf>
    <xf numFmtId="0" fontId="37" fillId="9" borderId="101" xfId="0" applyFont="1" applyFill="1" applyBorder="1" applyAlignment="1">
      <alignment vertical="center"/>
    </xf>
    <xf numFmtId="0" fontId="37" fillId="9" borderId="102" xfId="0" applyFont="1" applyFill="1" applyBorder="1" applyAlignment="1">
      <alignment vertical="center"/>
    </xf>
    <xf numFmtId="0" fontId="37" fillId="9" borderId="103" xfId="0" applyFont="1" applyFill="1" applyBorder="1" applyAlignment="1">
      <alignment vertical="center"/>
    </xf>
    <xf numFmtId="0" fontId="37" fillId="9" borderId="1" xfId="0" applyFont="1" applyFill="1" applyBorder="1" applyAlignment="1">
      <alignment vertical="center"/>
    </xf>
    <xf numFmtId="0" fontId="37" fillId="9" borderId="79" xfId="0" applyFont="1" applyFill="1" applyBorder="1" applyAlignment="1">
      <alignment vertical="center"/>
    </xf>
    <xf numFmtId="0" fontId="29" fillId="10" borderId="137" xfId="0" applyFont="1" applyFill="1" applyBorder="1" applyAlignment="1">
      <alignment vertical="center"/>
    </xf>
    <xf numFmtId="0" fontId="0" fillId="9" borderId="135" xfId="0" applyFill="1" applyBorder="1" applyAlignment="1">
      <alignment vertical="center"/>
    </xf>
    <xf numFmtId="0" fontId="0" fillId="0" borderId="0" xfId="0" applyAlignment="1">
      <alignment horizontal="right" vertical="center" wrapText="1"/>
    </xf>
    <xf numFmtId="0" fontId="0" fillId="9" borderId="55" xfId="0" applyFill="1" applyBorder="1"/>
    <xf numFmtId="0" fontId="0" fillId="9" borderId="85" xfId="0" applyFill="1" applyBorder="1"/>
    <xf numFmtId="0" fontId="0" fillId="9" borderId="2" xfId="0" applyFill="1" applyBorder="1"/>
    <xf numFmtId="0" fontId="0" fillId="9" borderId="1" xfId="0" applyFill="1" applyBorder="1"/>
    <xf numFmtId="0" fontId="0" fillId="9" borderId="81" xfId="0" applyFill="1" applyBorder="1"/>
    <xf numFmtId="0" fontId="0" fillId="9" borderId="76" xfId="0" applyFill="1" applyBorder="1"/>
    <xf numFmtId="0" fontId="5" fillId="6" borderId="10" xfId="0" applyFont="1" applyFill="1" applyBorder="1"/>
    <xf numFmtId="0" fontId="5" fillId="6" borderId="26" xfId="0" applyFont="1" applyFill="1" applyBorder="1"/>
    <xf numFmtId="0" fontId="2" fillId="6" borderId="14" xfId="0" applyFont="1" applyFill="1" applyBorder="1"/>
    <xf numFmtId="0" fontId="2" fillId="6" borderId="14" xfId="0" applyFont="1" applyFill="1" applyBorder="1" applyAlignment="1">
      <alignment vertical="center"/>
    </xf>
    <xf numFmtId="0" fontId="0" fillId="8" borderId="45" xfId="0" applyFill="1" applyBorder="1" applyAlignment="1">
      <alignment horizontal="center" vertical="center" wrapText="1"/>
    </xf>
    <xf numFmtId="0" fontId="0" fillId="8" borderId="14" xfId="0" applyFill="1" applyBorder="1" applyAlignment="1">
      <alignment horizontal="center" vertical="center" wrapText="1"/>
    </xf>
    <xf numFmtId="0" fontId="1" fillId="8" borderId="95" xfId="0" applyFont="1" applyFill="1" applyBorder="1" applyAlignment="1">
      <alignment horizontal="center" vertical="center" wrapText="1"/>
    </xf>
    <xf numFmtId="0" fontId="1" fillId="0" borderId="24" xfId="0" applyFont="1" applyBorder="1"/>
    <xf numFmtId="0" fontId="0" fillId="0" borderId="46" xfId="0" applyBorder="1"/>
    <xf numFmtId="0" fontId="1" fillId="8" borderId="14"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0" fillId="6" borderId="73" xfId="0" applyFill="1" applyBorder="1"/>
    <xf numFmtId="0" fontId="2" fillId="6" borderId="117" xfId="0" applyFont="1" applyFill="1" applyBorder="1"/>
    <xf numFmtId="0" fontId="1" fillId="8" borderId="41" xfId="0" applyFont="1" applyFill="1" applyBorder="1" applyAlignment="1">
      <alignment horizontal="center" vertical="center" wrapText="1"/>
    </xf>
    <xf numFmtId="0" fontId="0" fillId="8" borderId="18" xfId="0" applyFill="1" applyBorder="1" applyAlignment="1">
      <alignment horizontal="center" vertical="center"/>
    </xf>
    <xf numFmtId="0" fontId="0" fillId="8" borderId="23" xfId="0" applyFill="1" applyBorder="1" applyAlignment="1">
      <alignment horizontal="center" vertical="center" wrapText="1"/>
    </xf>
    <xf numFmtId="2" fontId="0" fillId="0" borderId="69" xfId="0" applyNumberFormat="1" applyBorder="1"/>
    <xf numFmtId="2" fontId="0" fillId="0" borderId="29" xfId="0" applyNumberFormat="1" applyBorder="1"/>
    <xf numFmtId="2" fontId="0" fillId="0" borderId="70" xfId="0" applyNumberFormat="1" applyBorder="1"/>
    <xf numFmtId="43" fontId="0" fillId="0" borderId="26" xfId="5" applyFont="1" applyBorder="1"/>
    <xf numFmtId="43" fontId="0" fillId="7" borderId="9" xfId="5" applyFont="1" applyFill="1" applyBorder="1"/>
    <xf numFmtId="43" fontId="0" fillId="3" borderId="9" xfId="5" applyFont="1" applyFill="1" applyBorder="1"/>
    <xf numFmtId="43" fontId="0" fillId="8" borderId="22" xfId="5" applyFont="1" applyFill="1" applyBorder="1" applyAlignment="1">
      <alignment horizontal="center" vertical="center" wrapText="1"/>
    </xf>
    <xf numFmtId="43" fontId="0" fillId="0" borderId="0" xfId="5" applyFont="1"/>
    <xf numFmtId="43" fontId="0" fillId="8" borderId="41" xfId="5" applyFont="1" applyFill="1" applyBorder="1" applyAlignment="1">
      <alignment horizontal="center" vertical="center" wrapText="1"/>
    </xf>
    <xf numFmtId="43" fontId="1" fillId="8" borderId="22" xfId="5" applyFont="1" applyFill="1" applyBorder="1" applyAlignment="1">
      <alignment horizontal="center" vertical="center" wrapText="1"/>
    </xf>
    <xf numFmtId="43" fontId="1" fillId="8" borderId="21" xfId="5" applyFont="1" applyFill="1" applyBorder="1" applyAlignment="1">
      <alignment horizontal="center" vertical="center" wrapText="1"/>
    </xf>
    <xf numFmtId="0" fontId="34" fillId="0" borderId="0" xfId="0" applyFont="1" applyAlignment="1">
      <alignment vertical="center"/>
    </xf>
    <xf numFmtId="0" fontId="40" fillId="0" borderId="0" xfId="0" applyFont="1" applyAlignment="1">
      <alignment vertical="center"/>
    </xf>
    <xf numFmtId="0" fontId="1" fillId="0" borderId="44" xfId="0" applyFont="1" applyBorder="1"/>
    <xf numFmtId="0" fontId="1" fillId="8" borderId="14" xfId="0" applyFont="1" applyFill="1" applyBorder="1" applyAlignment="1">
      <alignment horizontal="center" wrapText="1"/>
    </xf>
    <xf numFmtId="0" fontId="1" fillId="0" borderId="9" xfId="0" applyFont="1" applyBorder="1"/>
    <xf numFmtId="0" fontId="0" fillId="0" borderId="95" xfId="0" applyBorder="1"/>
    <xf numFmtId="0" fontId="5" fillId="6" borderId="0" xfId="0" applyFont="1" applyFill="1"/>
    <xf numFmtId="0" fontId="0" fillId="0" borderId="3" xfId="0" applyBorder="1"/>
    <xf numFmtId="0" fontId="1" fillId="0" borderId="0" xfId="0" applyFont="1"/>
    <xf numFmtId="0" fontId="5" fillId="6" borderId="0" xfId="0" applyFont="1" applyFill="1" applyAlignment="1" applyProtection="1">
      <alignment horizontal="left" vertical="center" wrapText="1"/>
      <protection locked="0"/>
    </xf>
    <xf numFmtId="0" fontId="0" fillId="15" borderId="9" xfId="0" applyFill="1" applyBorder="1"/>
    <xf numFmtId="0" fontId="0" fillId="10" borderId="135" xfId="0" applyFill="1" applyBorder="1" applyAlignment="1">
      <alignment vertical="center"/>
    </xf>
    <xf numFmtId="172" fontId="0" fillId="0" borderId="1" xfId="0" applyNumberFormat="1" applyBorder="1" applyAlignment="1">
      <alignment horizontal="center" vertical="center"/>
    </xf>
    <xf numFmtId="172" fontId="1" fillId="0" borderId="1" xfId="0" applyNumberFormat="1" applyFont="1" applyBorder="1" applyAlignment="1">
      <alignment horizontal="center" vertical="center"/>
    </xf>
    <xf numFmtId="0" fontId="0" fillId="0" borderId="12" xfId="0" applyBorder="1" applyAlignment="1">
      <alignment vertical="center"/>
    </xf>
    <xf numFmtId="2" fontId="0" fillId="0" borderId="12" xfId="0" applyNumberFormat="1" applyBorder="1" applyAlignment="1">
      <alignment vertical="center"/>
    </xf>
    <xf numFmtId="2" fontId="0" fillId="0" borderId="0" xfId="0" applyNumberFormat="1" applyAlignment="1">
      <alignment vertical="center"/>
    </xf>
    <xf numFmtId="2" fontId="0" fillId="0" borderId="77" xfId="0" applyNumberFormat="1" applyBorder="1" applyAlignment="1">
      <alignment horizontal="center" vertical="center"/>
    </xf>
    <xf numFmtId="2" fontId="0" fillId="0" borderId="90" xfId="0" applyNumberFormat="1" applyBorder="1" applyAlignment="1">
      <alignment horizontal="center" vertical="center"/>
    </xf>
    <xf numFmtId="0" fontId="37" fillId="12" borderId="116" xfId="0" applyFont="1" applyFill="1" applyBorder="1" applyAlignment="1">
      <alignment horizontal="center" vertical="center"/>
    </xf>
    <xf numFmtId="0" fontId="37" fillId="12" borderId="22" xfId="0" applyFont="1" applyFill="1" applyBorder="1" applyAlignment="1">
      <alignment horizontal="center" vertical="center"/>
    </xf>
    <xf numFmtId="2" fontId="37" fillId="8" borderId="89" xfId="0" applyNumberFormat="1" applyFont="1" applyFill="1" applyBorder="1" applyAlignment="1">
      <alignment horizontal="center" vertical="center"/>
    </xf>
    <xf numFmtId="0" fontId="0" fillId="0" borderId="9" xfId="0" applyBorder="1" applyAlignment="1">
      <alignment vertical="center"/>
    </xf>
    <xf numFmtId="172" fontId="0" fillId="0" borderId="119" xfId="0" applyNumberFormat="1" applyBorder="1" applyAlignment="1">
      <alignment horizontal="center" vertical="center"/>
    </xf>
    <xf numFmtId="172" fontId="1" fillId="0" borderId="119" xfId="0" applyNumberFormat="1" applyFont="1" applyBorder="1" applyAlignment="1">
      <alignment horizontal="center" vertical="center"/>
    </xf>
    <xf numFmtId="164" fontId="0" fillId="0" borderId="1" xfId="0" applyNumberFormat="1" applyBorder="1" applyAlignment="1">
      <alignment vertical="center"/>
    </xf>
    <xf numFmtId="2" fontId="37" fillId="12" borderId="89" xfId="0" applyNumberFormat="1" applyFont="1" applyFill="1" applyBorder="1" applyAlignment="1">
      <alignment horizontal="center" vertical="center"/>
    </xf>
    <xf numFmtId="2" fontId="37" fillId="12" borderId="95" xfId="0" applyNumberFormat="1" applyFont="1" applyFill="1" applyBorder="1" applyAlignment="1">
      <alignment horizontal="center" vertical="center"/>
    </xf>
    <xf numFmtId="164" fontId="1" fillId="0" borderId="1" xfId="0" applyNumberFormat="1" applyFont="1" applyBorder="1" applyAlignment="1">
      <alignment vertical="center"/>
    </xf>
    <xf numFmtId="164" fontId="1" fillId="0" borderId="1" xfId="0" applyNumberFormat="1" applyFont="1" applyBorder="1" applyAlignment="1">
      <alignment horizontal="right" vertical="center"/>
    </xf>
    <xf numFmtId="164" fontId="35" fillId="0" borderId="1" xfId="0" applyNumberFormat="1" applyFont="1" applyBorder="1" applyAlignment="1">
      <alignment vertical="center"/>
    </xf>
    <xf numFmtId="164" fontId="35" fillId="0" borderId="1" xfId="0" applyNumberFormat="1" applyFont="1" applyBorder="1" applyAlignment="1">
      <alignment horizontal="right" vertical="center"/>
    </xf>
    <xf numFmtId="0" fontId="2" fillId="0" borderId="12" xfId="0" applyFont="1" applyBorder="1" applyAlignment="1">
      <alignment vertical="center"/>
    </xf>
    <xf numFmtId="0" fontId="4" fillId="0" borderId="12" xfId="0" applyFont="1" applyBorder="1" applyAlignment="1">
      <alignment vertical="center"/>
    </xf>
    <xf numFmtId="0" fontId="4" fillId="0" borderId="0" xfId="0" applyFont="1" applyAlignment="1">
      <alignment vertical="center"/>
    </xf>
    <xf numFmtId="0" fontId="25" fillId="0" borderId="12" xfId="0" applyFont="1" applyBorder="1" applyAlignment="1">
      <alignment vertical="center"/>
    </xf>
    <xf numFmtId="164" fontId="0" fillId="0" borderId="85" xfId="0" applyNumberFormat="1" applyBorder="1" applyAlignment="1">
      <alignment vertical="center"/>
    </xf>
    <xf numFmtId="164" fontId="35" fillId="0" borderId="85" xfId="0" applyNumberFormat="1" applyFont="1" applyBorder="1" applyAlignment="1">
      <alignment vertical="center"/>
    </xf>
    <xf numFmtId="172" fontId="0" fillId="0" borderId="118" xfId="0" applyNumberFormat="1" applyBorder="1" applyAlignment="1">
      <alignment horizontal="center" vertical="center"/>
    </xf>
    <xf numFmtId="164" fontId="1" fillId="0" borderId="85" xfId="0" applyNumberFormat="1" applyFont="1" applyBorder="1" applyAlignment="1">
      <alignment vertical="center"/>
    </xf>
    <xf numFmtId="164" fontId="1" fillId="0" borderId="58" xfId="0" applyNumberFormat="1" applyFont="1" applyBorder="1" applyAlignment="1">
      <alignment vertical="center"/>
    </xf>
    <xf numFmtId="164" fontId="1" fillId="0" borderId="79" xfId="0" applyNumberFormat="1" applyFont="1" applyBorder="1" applyAlignment="1">
      <alignment vertical="center"/>
    </xf>
    <xf numFmtId="164" fontId="1" fillId="0" borderId="79" xfId="0" applyNumberFormat="1" applyFont="1" applyBorder="1" applyAlignment="1">
      <alignment horizontal="right" vertical="center"/>
    </xf>
    <xf numFmtId="164" fontId="0" fillId="0" borderId="21" xfId="0" applyNumberFormat="1" applyBorder="1" applyAlignment="1">
      <alignment vertical="center"/>
    </xf>
    <xf numFmtId="164" fontId="35" fillId="0" borderId="21" xfId="0" applyNumberFormat="1" applyFont="1" applyBorder="1" applyAlignment="1">
      <alignment vertical="center"/>
    </xf>
    <xf numFmtId="172" fontId="0" fillId="0" borderId="141" xfId="0" applyNumberFormat="1" applyBorder="1" applyAlignment="1">
      <alignment horizontal="center" vertical="center"/>
    </xf>
    <xf numFmtId="164" fontId="1" fillId="0" borderId="21" xfId="0" applyNumberFormat="1" applyFont="1" applyBorder="1" applyAlignment="1">
      <alignment vertical="center"/>
    </xf>
    <xf numFmtId="164" fontId="1" fillId="0" borderId="35" xfId="0" applyNumberFormat="1" applyFont="1" applyBorder="1" applyAlignment="1">
      <alignment vertical="center"/>
    </xf>
    <xf numFmtId="0" fontId="2" fillId="0" borderId="0" xfId="0" applyFont="1"/>
    <xf numFmtId="0" fontId="5" fillId="8" borderId="1" xfId="0" applyFont="1" applyFill="1" applyBorder="1" applyAlignment="1">
      <alignment horizontal="center" vertical="center"/>
    </xf>
    <xf numFmtId="0" fontId="0" fillId="8" borderId="1" xfId="0" applyFill="1" applyBorder="1" applyAlignment="1">
      <alignment wrapText="1"/>
    </xf>
    <xf numFmtId="0" fontId="0" fillId="0" borderId="1" xfId="0" applyBorder="1" applyAlignment="1">
      <alignment vertical="center" wrapText="1"/>
    </xf>
    <xf numFmtId="2" fontId="0" fillId="0" borderId="1" xfId="0" applyNumberFormat="1" applyBorder="1" applyAlignment="1">
      <alignment horizontal="center" vertical="center"/>
    </xf>
    <xf numFmtId="0" fontId="29" fillId="12" borderId="1" xfId="0" applyFont="1" applyFill="1" applyBorder="1" applyAlignment="1">
      <alignment vertical="center"/>
    </xf>
    <xf numFmtId="0" fontId="29" fillId="12" borderId="1" xfId="0" applyFont="1" applyFill="1" applyBorder="1" applyAlignment="1">
      <alignment horizontal="center" vertical="center"/>
    </xf>
    <xf numFmtId="2" fontId="29" fillId="12" borderId="1" xfId="0" applyNumberFormat="1" applyFont="1" applyFill="1" applyBorder="1" applyAlignment="1">
      <alignment horizontal="center" vertical="center"/>
    </xf>
    <xf numFmtId="0" fontId="1" fillId="0" borderId="1" xfId="0" applyFont="1" applyBorder="1" applyAlignment="1">
      <alignment wrapText="1"/>
    </xf>
    <xf numFmtId="0" fontId="0" fillId="8" borderId="1" xfId="0" applyFill="1" applyBorder="1" applyAlignment="1">
      <alignment vertical="center" wrapText="1"/>
    </xf>
    <xf numFmtId="0" fontId="5" fillId="6" borderId="62" xfId="0" applyFont="1" applyFill="1" applyBorder="1"/>
    <xf numFmtId="0" fontId="29" fillId="10" borderId="169" xfId="0" applyFont="1" applyFill="1" applyBorder="1" applyAlignment="1">
      <alignment vertical="center"/>
    </xf>
    <xf numFmtId="2" fontId="1" fillId="8" borderId="76" xfId="0" applyNumberFormat="1" applyFont="1" applyFill="1" applyBorder="1" applyAlignment="1">
      <alignment horizontal="center" vertical="center" wrapText="1"/>
    </xf>
    <xf numFmtId="0" fontId="5" fillId="6" borderId="0" xfId="0" applyFont="1" applyFill="1" applyAlignment="1">
      <alignment wrapText="1"/>
    </xf>
    <xf numFmtId="0" fontId="0" fillId="0" borderId="1" xfId="0" applyBorder="1" applyAlignment="1">
      <alignment horizontal="right"/>
    </xf>
    <xf numFmtId="164" fontId="35" fillId="0" borderId="79" xfId="0" applyNumberFormat="1" applyFont="1" applyBorder="1" applyAlignment="1">
      <alignment vertical="center"/>
    </xf>
    <xf numFmtId="0" fontId="1" fillId="0" borderId="0" xfId="64" applyProtection="1">
      <protection locked="0"/>
    </xf>
    <xf numFmtId="0" fontId="1" fillId="0" borderId="0" xfId="64" applyAlignment="1" applyProtection="1">
      <alignment wrapText="1"/>
      <protection locked="0"/>
    </xf>
    <xf numFmtId="0" fontId="37" fillId="0" borderId="0" xfId="64" applyFont="1" applyProtection="1">
      <protection locked="0"/>
    </xf>
    <xf numFmtId="0" fontId="29" fillId="0" borderId="0" xfId="64" applyFont="1" applyAlignment="1" applyProtection="1">
      <alignment wrapText="1"/>
      <protection locked="0"/>
    </xf>
    <xf numFmtId="0" fontId="37" fillId="0" borderId="0" xfId="64" applyFont="1" applyAlignment="1" applyProtection="1">
      <alignment vertical="top" wrapText="1"/>
      <protection locked="0"/>
    </xf>
    <xf numFmtId="0" fontId="1" fillId="0" borderId="0" xfId="64"/>
    <xf numFmtId="39" fontId="1" fillId="16" borderId="87" xfId="5" applyNumberFormat="1" applyFont="1" applyFill="1" applyBorder="1" applyAlignment="1" applyProtection="1">
      <alignment horizontal="center" vertical="center"/>
    </xf>
    <xf numFmtId="39" fontId="1" fillId="16" borderId="88" xfId="5" applyNumberFormat="1" applyFont="1" applyFill="1" applyBorder="1" applyAlignment="1" applyProtection="1">
      <alignment horizontal="center" vertical="center"/>
    </xf>
    <xf numFmtId="164" fontId="1" fillId="16" borderId="90" xfId="5" applyNumberFormat="1" applyFont="1" applyFill="1" applyBorder="1" applyAlignment="1" applyProtection="1">
      <alignment horizontal="center" vertical="center"/>
    </xf>
    <xf numFmtId="39" fontId="1" fillId="16" borderId="3" xfId="5" applyNumberFormat="1" applyFont="1" applyFill="1" applyBorder="1" applyAlignment="1" applyProtection="1">
      <alignment horizontal="center" vertical="center"/>
    </xf>
    <xf numFmtId="0" fontId="0" fillId="15" borderId="3" xfId="0" applyFill="1" applyBorder="1" applyAlignment="1" applyProtection="1">
      <alignment horizontal="center" vertical="center"/>
      <protection locked="0"/>
    </xf>
    <xf numFmtId="2" fontId="0" fillId="15" borderId="3" xfId="0" applyNumberFormat="1" applyFill="1" applyBorder="1" applyAlignment="1" applyProtection="1">
      <alignment horizontal="center" vertical="center"/>
      <protection locked="0"/>
    </xf>
    <xf numFmtId="0" fontId="0" fillId="15" borderId="1" xfId="0" applyFill="1" applyBorder="1" applyAlignment="1" applyProtection="1">
      <alignment horizontal="center" vertical="center"/>
      <protection locked="0"/>
    </xf>
    <xf numFmtId="2" fontId="0" fillId="15" borderId="1" xfId="0" applyNumberFormat="1" applyFill="1" applyBorder="1" applyAlignment="1" applyProtection="1">
      <alignment horizontal="center" vertical="center"/>
      <protection locked="0"/>
    </xf>
    <xf numFmtId="0" fontId="0" fillId="15" borderId="21" xfId="0" applyFill="1" applyBorder="1" applyAlignment="1" applyProtection="1">
      <alignment horizontal="center" vertical="center"/>
      <protection locked="0"/>
    </xf>
    <xf numFmtId="2" fontId="0" fillId="15" borderId="21" xfId="0" applyNumberFormat="1" applyFill="1" applyBorder="1" applyAlignment="1" applyProtection="1">
      <alignment horizontal="center" vertical="center"/>
      <protection locked="0"/>
    </xf>
    <xf numFmtId="0" fontId="0" fillId="15" borderId="3" xfId="0" applyFill="1" applyBorder="1" applyAlignment="1" applyProtection="1">
      <alignment horizontal="left" vertical="center"/>
      <protection locked="0"/>
    </xf>
    <xf numFmtId="2" fontId="0" fillId="15" borderId="88" xfId="0" applyNumberFormat="1" applyFill="1" applyBorder="1" applyAlignment="1" applyProtection="1">
      <alignment horizontal="left" vertical="center"/>
      <protection locked="0"/>
    </xf>
    <xf numFmtId="2" fontId="0" fillId="15" borderId="79" xfId="0" applyNumberFormat="1" applyFill="1" applyBorder="1" applyAlignment="1" applyProtection="1">
      <alignment horizontal="center" vertical="center"/>
      <protection locked="0"/>
    </xf>
    <xf numFmtId="2" fontId="0" fillId="15" borderId="35" xfId="0" applyNumberFormat="1" applyFill="1" applyBorder="1" applyAlignment="1" applyProtection="1">
      <alignment horizontal="center" vertical="center"/>
      <protection locked="0"/>
    </xf>
    <xf numFmtId="4" fontId="0" fillId="15" borderId="88" xfId="0" applyNumberFormat="1" applyFill="1" applyBorder="1" applyAlignment="1" applyProtection="1">
      <alignment horizontal="center" vertical="center" wrapText="1"/>
      <protection locked="0"/>
    </xf>
    <xf numFmtId="4" fontId="0" fillId="15" borderId="79" xfId="0" applyNumberFormat="1" applyFill="1" applyBorder="1" applyAlignment="1" applyProtection="1">
      <alignment horizontal="center" vertical="center" wrapText="1"/>
      <protection locked="0"/>
    </xf>
    <xf numFmtId="4" fontId="0" fillId="15" borderId="35" xfId="0" applyNumberFormat="1" applyFill="1" applyBorder="1" applyAlignment="1" applyProtection="1">
      <alignment horizontal="center" vertical="center" wrapText="1"/>
      <protection locked="0"/>
    </xf>
    <xf numFmtId="0" fontId="29" fillId="0" borderId="0" xfId="0" applyFont="1"/>
    <xf numFmtId="172" fontId="0" fillId="0" borderId="1" xfId="0" applyNumberFormat="1" applyBorder="1"/>
    <xf numFmtId="2" fontId="35" fillId="0" borderId="1" xfId="0" applyNumberFormat="1" applyFont="1" applyBorder="1" applyAlignment="1">
      <alignment vertical="center"/>
    </xf>
    <xf numFmtId="2" fontId="37" fillId="12" borderId="64" xfId="0" applyNumberFormat="1" applyFont="1" applyFill="1" applyBorder="1" applyAlignment="1">
      <alignment horizontal="center" vertical="center"/>
    </xf>
    <xf numFmtId="2" fontId="37" fillId="12" borderId="54" xfId="0" applyNumberFormat="1" applyFont="1" applyFill="1" applyBorder="1" applyAlignment="1">
      <alignment horizontal="center" vertical="center"/>
    </xf>
    <xf numFmtId="2" fontId="37" fillId="8" borderId="54" xfId="0" applyNumberFormat="1" applyFont="1" applyFill="1" applyBorder="1" applyAlignment="1">
      <alignment horizontal="center" vertical="center"/>
    </xf>
    <xf numFmtId="2" fontId="0" fillId="0" borderId="57" xfId="0" applyNumberFormat="1" applyBorder="1" applyAlignment="1">
      <alignment horizontal="center" vertical="center"/>
    </xf>
    <xf numFmtId="2" fontId="0" fillId="0" borderId="82" xfId="0" applyNumberFormat="1" applyBorder="1" applyAlignment="1">
      <alignment horizontal="center" vertical="center"/>
    </xf>
    <xf numFmtId="0" fontId="0" fillId="8" borderId="112" xfId="0" applyFill="1" applyBorder="1"/>
    <xf numFmtId="0" fontId="0" fillId="8" borderId="172" xfId="0" applyFill="1" applyBorder="1"/>
    <xf numFmtId="0" fontId="1" fillId="8" borderId="172" xfId="0" applyFont="1" applyFill="1" applyBorder="1"/>
    <xf numFmtId="0" fontId="0" fillId="8" borderId="166" xfId="0" applyFill="1" applyBorder="1"/>
    <xf numFmtId="0" fontId="29" fillId="8" borderId="76" xfId="0" applyFont="1" applyFill="1" applyBorder="1" applyAlignment="1">
      <alignment horizontal="center" vertical="center" wrapText="1"/>
    </xf>
    <xf numFmtId="0" fontId="29" fillId="8" borderId="91" xfId="0" applyFont="1" applyFill="1" applyBorder="1" applyAlignment="1">
      <alignment horizontal="center" vertical="center" wrapText="1"/>
    </xf>
    <xf numFmtId="172" fontId="35" fillId="0" borderId="1" xfId="0" applyNumberFormat="1" applyFont="1" applyBorder="1"/>
    <xf numFmtId="172" fontId="0" fillId="0" borderId="1" xfId="0" applyNumberFormat="1" applyBorder="1" applyAlignment="1">
      <alignment horizontal="right"/>
    </xf>
    <xf numFmtId="172" fontId="1" fillId="0" borderId="1" xfId="0" applyNumberFormat="1" applyFont="1" applyBorder="1" applyAlignment="1">
      <alignment horizontal="right"/>
    </xf>
    <xf numFmtId="2" fontId="0" fillId="6" borderId="55" xfId="0" applyNumberFormat="1" applyFill="1" applyBorder="1"/>
    <xf numFmtId="0" fontId="0" fillId="0" borderId="85" xfId="0" applyBorder="1"/>
    <xf numFmtId="172" fontId="0" fillId="0" borderId="85" xfId="0" applyNumberFormat="1" applyBorder="1"/>
    <xf numFmtId="2" fontId="0" fillId="6" borderId="2" xfId="0" applyNumberFormat="1" applyFill="1" applyBorder="1" applyAlignment="1">
      <alignment horizontal="right"/>
    </xf>
    <xf numFmtId="2" fontId="0" fillId="6" borderId="18" xfId="0" applyNumberFormat="1" applyFill="1" applyBorder="1"/>
    <xf numFmtId="2" fontId="0" fillId="0" borderId="21" xfId="0" applyNumberFormat="1" applyBorder="1"/>
    <xf numFmtId="172" fontId="0" fillId="0" borderId="21" xfId="0" applyNumberFormat="1" applyBorder="1"/>
    <xf numFmtId="0" fontId="0" fillId="9" borderId="174" xfId="0" applyFill="1" applyBorder="1" applyAlignment="1">
      <alignment vertical="center"/>
    </xf>
    <xf numFmtId="0" fontId="0" fillId="9" borderId="132" xfId="0" applyFill="1" applyBorder="1" applyAlignment="1">
      <alignment vertical="center"/>
    </xf>
    <xf numFmtId="0" fontId="1" fillId="0" borderId="1" xfId="0" applyFont="1" applyBorder="1"/>
    <xf numFmtId="0" fontId="45" fillId="0" borderId="0" xfId="64" applyFont="1"/>
    <xf numFmtId="0" fontId="33" fillId="8" borderId="112" xfId="0" applyFont="1" applyFill="1" applyBorder="1" applyAlignment="1">
      <alignment horizontal="center"/>
    </xf>
    <xf numFmtId="0" fontId="33" fillId="8" borderId="172" xfId="0" applyFont="1" applyFill="1" applyBorder="1" applyAlignment="1">
      <alignment horizontal="center"/>
    </xf>
    <xf numFmtId="0" fontId="33" fillId="8" borderId="166" xfId="0" applyFont="1" applyFill="1" applyBorder="1" applyAlignment="1">
      <alignment horizontal="center"/>
    </xf>
    <xf numFmtId="2" fontId="0" fillId="0" borderId="78" xfId="0" applyNumberFormat="1" applyBorder="1" applyAlignment="1">
      <alignment horizontal="center" vertical="center"/>
    </xf>
    <xf numFmtId="164" fontId="0" fillId="0" borderId="76" xfId="0" applyNumberFormat="1" applyBorder="1" applyAlignment="1">
      <alignment vertical="center"/>
    </xf>
    <xf numFmtId="164" fontId="35" fillId="0" borderId="76" xfId="0" applyNumberFormat="1" applyFont="1" applyBorder="1" applyAlignment="1">
      <alignment vertical="center"/>
    </xf>
    <xf numFmtId="164" fontId="1" fillId="0" borderId="76" xfId="0" applyNumberFormat="1" applyFont="1" applyBorder="1" applyAlignment="1">
      <alignment vertical="center"/>
    </xf>
    <xf numFmtId="164" fontId="1" fillId="0" borderId="84" xfId="0" applyNumberFormat="1" applyFont="1" applyBorder="1" applyAlignment="1">
      <alignment vertical="center"/>
    </xf>
    <xf numFmtId="164" fontId="0" fillId="0" borderId="3" xfId="0" applyNumberFormat="1" applyBorder="1" applyAlignment="1">
      <alignment vertical="center"/>
    </xf>
    <xf numFmtId="164" fontId="35" fillId="0" borderId="3" xfId="0" applyNumberFormat="1" applyFont="1" applyBorder="1" applyAlignment="1">
      <alignment vertical="center"/>
    </xf>
    <xf numFmtId="172" fontId="0" fillId="0" borderId="142" xfId="0" applyNumberFormat="1" applyBorder="1" applyAlignment="1">
      <alignment horizontal="center" vertical="center"/>
    </xf>
    <xf numFmtId="164" fontId="1" fillId="0" borderId="3" xfId="0" applyNumberFormat="1" applyFont="1" applyBorder="1" applyAlignment="1">
      <alignment vertical="center"/>
    </xf>
    <xf numFmtId="164" fontId="1" fillId="0" borderId="88" xfId="0" applyNumberFormat="1" applyFont="1" applyBorder="1" applyAlignment="1">
      <alignment vertical="center"/>
    </xf>
    <xf numFmtId="0" fontId="5" fillId="8" borderId="89" xfId="0" applyFont="1" applyFill="1" applyBorder="1" applyAlignment="1">
      <alignment vertical="center"/>
    </xf>
    <xf numFmtId="2" fontId="0" fillId="0" borderId="53" xfId="0" applyNumberFormat="1" applyBorder="1" applyAlignment="1">
      <alignment horizontal="center" vertical="center"/>
    </xf>
    <xf numFmtId="164" fontId="0" fillId="0" borderId="64" xfId="0" applyNumberFormat="1" applyBorder="1" applyAlignment="1">
      <alignment vertical="center"/>
    </xf>
    <xf numFmtId="164" fontId="35" fillId="0" borderId="64" xfId="0" applyNumberFormat="1" applyFont="1" applyBorder="1" applyAlignment="1">
      <alignment vertical="center"/>
    </xf>
    <xf numFmtId="172" fontId="0" fillId="0" borderId="111" xfId="0" applyNumberFormat="1" applyBorder="1" applyAlignment="1">
      <alignment horizontal="center" vertical="center"/>
    </xf>
    <xf numFmtId="164" fontId="1" fillId="0" borderId="64" xfId="0" applyNumberFormat="1" applyFont="1" applyBorder="1" applyAlignment="1">
      <alignment vertical="center"/>
    </xf>
    <xf numFmtId="164" fontId="1" fillId="0" borderId="54" xfId="0" applyNumberFormat="1" applyFont="1" applyBorder="1" applyAlignment="1">
      <alignment vertical="center"/>
    </xf>
    <xf numFmtId="0" fontId="33" fillId="8" borderId="106" xfId="0" applyFont="1" applyFill="1" applyBorder="1" applyAlignment="1">
      <alignment horizontal="center"/>
    </xf>
    <xf numFmtId="2" fontId="0" fillId="6" borderId="81" xfId="0" applyNumberFormat="1" applyFill="1" applyBorder="1"/>
    <xf numFmtId="0" fontId="0" fillId="0" borderId="76" xfId="0" applyBorder="1"/>
    <xf numFmtId="172" fontId="0" fillId="0" borderId="76" xfId="0" applyNumberFormat="1" applyBorder="1"/>
    <xf numFmtId="0" fontId="0" fillId="8" borderId="171" xfId="0" applyFill="1" applyBorder="1"/>
    <xf numFmtId="0" fontId="33" fillId="8" borderId="171" xfId="0" applyFont="1" applyFill="1" applyBorder="1" applyAlignment="1">
      <alignment horizontal="center"/>
    </xf>
    <xf numFmtId="2" fontId="0" fillId="6" borderId="87" xfId="0" applyNumberFormat="1" applyFill="1" applyBorder="1"/>
    <xf numFmtId="172" fontId="0" fillId="0" borderId="3" xfId="0" applyNumberFormat="1" applyBorder="1"/>
    <xf numFmtId="0" fontId="5" fillId="8" borderId="89" xfId="0" applyFont="1" applyFill="1" applyBorder="1"/>
    <xf numFmtId="0" fontId="0" fillId="8" borderId="89" xfId="0" applyFill="1" applyBorder="1"/>
    <xf numFmtId="0" fontId="33" fillId="8" borderId="89" xfId="0" applyFont="1" applyFill="1" applyBorder="1" applyAlignment="1">
      <alignment horizontal="center"/>
    </xf>
    <xf numFmtId="2" fontId="0" fillId="6" borderId="45" xfId="0" applyNumberFormat="1" applyFill="1" applyBorder="1"/>
    <xf numFmtId="0" fontId="0" fillId="0" borderId="64" xfId="0" applyBorder="1"/>
    <xf numFmtId="172" fontId="0" fillId="0" borderId="64" xfId="0" applyNumberFormat="1" applyBorder="1"/>
    <xf numFmtId="0" fontId="0" fillId="8" borderId="112" xfId="0" applyFill="1" applyBorder="1" applyAlignment="1">
      <alignment wrapText="1"/>
    </xf>
    <xf numFmtId="0" fontId="0" fillId="8" borderId="172" xfId="0" applyFill="1" applyBorder="1" applyAlignment="1">
      <alignment wrapText="1"/>
    </xf>
    <xf numFmtId="0" fontId="1" fillId="8" borderId="172" xfId="0" applyFont="1" applyFill="1" applyBorder="1" applyAlignment="1">
      <alignment wrapText="1"/>
    </xf>
    <xf numFmtId="0" fontId="0" fillId="8" borderId="106" xfId="0" applyFill="1" applyBorder="1" applyAlignment="1">
      <alignment wrapText="1"/>
    </xf>
    <xf numFmtId="0" fontId="0" fillId="8" borderId="166" xfId="0" applyFill="1" applyBorder="1" applyAlignment="1">
      <alignment wrapText="1"/>
    </xf>
    <xf numFmtId="0" fontId="0" fillId="8" borderId="89" xfId="0" applyFill="1" applyBorder="1" applyAlignment="1">
      <alignment wrapText="1"/>
    </xf>
    <xf numFmtId="0" fontId="0" fillId="8" borderId="171" xfId="0" applyFill="1" applyBorder="1" applyAlignment="1">
      <alignment wrapText="1"/>
    </xf>
    <xf numFmtId="0" fontId="33" fillId="8" borderId="176" xfId="0" applyFont="1" applyFill="1" applyBorder="1" applyAlignment="1">
      <alignment horizontal="center"/>
    </xf>
    <xf numFmtId="0" fontId="33" fillId="8" borderId="177" xfId="0" applyFont="1" applyFill="1" applyBorder="1" applyAlignment="1">
      <alignment horizontal="center"/>
    </xf>
    <xf numFmtId="0" fontId="33" fillId="8" borderId="178" xfId="0" applyFont="1" applyFill="1" applyBorder="1" applyAlignment="1">
      <alignment horizontal="center"/>
    </xf>
    <xf numFmtId="0" fontId="33" fillId="8" borderId="179" xfId="0" applyFont="1" applyFill="1" applyBorder="1" applyAlignment="1">
      <alignment horizontal="center"/>
    </xf>
    <xf numFmtId="0" fontId="33" fillId="8" borderId="180" xfId="0" applyFont="1" applyFill="1" applyBorder="1" applyAlignment="1">
      <alignment horizontal="center"/>
    </xf>
    <xf numFmtId="0" fontId="33" fillId="8" borderId="181" xfId="0" applyFont="1" applyFill="1" applyBorder="1" applyAlignment="1">
      <alignment horizontal="center"/>
    </xf>
    <xf numFmtId="0" fontId="33" fillId="8" borderId="182" xfId="0" applyFont="1" applyFill="1" applyBorder="1" applyAlignment="1">
      <alignment horizontal="center"/>
    </xf>
    <xf numFmtId="0" fontId="33" fillId="8" borderId="183" xfId="0" applyFont="1" applyFill="1" applyBorder="1" applyAlignment="1">
      <alignment horizontal="center"/>
    </xf>
    <xf numFmtId="172" fontId="1" fillId="0" borderId="134" xfId="0" applyNumberFormat="1" applyFont="1" applyBorder="1" applyAlignment="1">
      <alignment horizontal="center" vertical="center"/>
    </xf>
    <xf numFmtId="172" fontId="1" fillId="0" borderId="1" xfId="0" applyNumberFormat="1" applyFont="1" applyBorder="1"/>
    <xf numFmtId="0" fontId="7" fillId="0" borderId="1" xfId="0" applyFont="1" applyBorder="1" applyAlignment="1">
      <alignment vertical="center" wrapText="1"/>
    </xf>
    <xf numFmtId="0" fontId="46" fillId="8" borderId="1" xfId="0" applyFont="1" applyFill="1" applyBorder="1" applyAlignment="1">
      <alignment horizontal="center" vertical="center" textRotation="90"/>
    </xf>
    <xf numFmtId="0" fontId="33" fillId="8" borderId="1" xfId="0" applyFont="1" applyFill="1" applyBorder="1" applyAlignment="1">
      <alignment horizontal="center" vertical="center" wrapText="1"/>
    </xf>
    <xf numFmtId="0" fontId="33" fillId="8" borderId="1" xfId="0" applyFont="1" applyFill="1" applyBorder="1" applyAlignment="1">
      <alignment horizontal="center" wrapText="1"/>
    </xf>
    <xf numFmtId="0" fontId="1" fillId="8" borderId="106" xfId="0" applyFont="1" applyFill="1" applyBorder="1"/>
    <xf numFmtId="0" fontId="47" fillId="8" borderId="172" xfId="0" applyFont="1" applyFill="1" applyBorder="1" applyAlignment="1">
      <alignment horizontal="center"/>
    </xf>
    <xf numFmtId="0" fontId="47" fillId="8" borderId="106" xfId="0" applyFont="1" applyFill="1" applyBorder="1" applyAlignment="1">
      <alignment horizontal="center"/>
    </xf>
    <xf numFmtId="0" fontId="47" fillId="8" borderId="89" xfId="0" applyFont="1" applyFill="1" applyBorder="1" applyAlignment="1">
      <alignment horizontal="center"/>
    </xf>
    <xf numFmtId="0" fontId="5" fillId="6" borderId="9" xfId="0" applyFont="1" applyFill="1" applyBorder="1" applyAlignment="1">
      <alignment vertical="center"/>
    </xf>
    <xf numFmtId="2" fontId="0" fillId="0" borderId="118" xfId="0" applyNumberFormat="1" applyBorder="1"/>
    <xf numFmtId="2" fontId="0" fillId="0" borderId="119" xfId="0" applyNumberFormat="1" applyBorder="1"/>
    <xf numFmtId="2" fontId="35" fillId="0" borderId="119" xfId="0" applyNumberFormat="1" applyFont="1" applyBorder="1"/>
    <xf numFmtId="2" fontId="1" fillId="0" borderId="119" xfId="0" applyNumberFormat="1" applyFont="1" applyBorder="1"/>
    <xf numFmtId="2" fontId="0" fillId="0" borderId="134" xfId="0" applyNumberFormat="1" applyBorder="1"/>
    <xf numFmtId="2" fontId="0" fillId="0" borderId="111" xfId="0" applyNumberFormat="1" applyBorder="1"/>
    <xf numFmtId="0" fontId="0" fillId="0" borderId="119" xfId="0" applyBorder="1" applyAlignment="1">
      <alignment horizontal="right"/>
    </xf>
    <xf numFmtId="2" fontId="0" fillId="0" borderId="141" xfId="0" applyNumberFormat="1" applyBorder="1"/>
    <xf numFmtId="2" fontId="0" fillId="0" borderId="142" xfId="0" applyNumberFormat="1" applyBorder="1"/>
    <xf numFmtId="9" fontId="0" fillId="0" borderId="194" xfId="36" applyFont="1" applyBorder="1" applyAlignment="1">
      <alignment horizontal="center" vertical="center"/>
    </xf>
    <xf numFmtId="9" fontId="0" fillId="0" borderId="14" xfId="36" applyFont="1" applyBorder="1" applyAlignment="1">
      <alignment horizontal="center" vertical="center"/>
    </xf>
    <xf numFmtId="9" fontId="0" fillId="0" borderId="39" xfId="36" applyFont="1" applyBorder="1" applyAlignment="1">
      <alignment horizontal="center" vertical="center"/>
    </xf>
    <xf numFmtId="9" fontId="0" fillId="0" borderId="195" xfId="36" applyFont="1" applyBorder="1" applyAlignment="1">
      <alignment horizontal="center" vertical="center"/>
    </xf>
    <xf numFmtId="9" fontId="0" fillId="0" borderId="196" xfId="36" applyFont="1" applyBorder="1" applyAlignment="1">
      <alignment horizontal="center" vertical="center"/>
    </xf>
    <xf numFmtId="9" fontId="0" fillId="0" borderId="121" xfId="36" applyFont="1" applyBorder="1" applyAlignment="1">
      <alignment horizontal="center" vertical="center"/>
    </xf>
    <xf numFmtId="0" fontId="5" fillId="6" borderId="0" xfId="0" applyFont="1" applyFill="1" applyAlignment="1">
      <alignment vertical="center" wrapText="1"/>
    </xf>
    <xf numFmtId="0" fontId="5" fillId="18" borderId="197" xfId="64" applyFont="1" applyFill="1" applyBorder="1" applyAlignment="1">
      <alignment horizontal="center" vertical="center"/>
    </xf>
    <xf numFmtId="0" fontId="5" fillId="18" borderId="197" xfId="64" applyFont="1" applyFill="1" applyBorder="1" applyAlignment="1">
      <alignment horizontal="center" vertical="center" wrapText="1"/>
    </xf>
    <xf numFmtId="175" fontId="1" fillId="0" borderId="1" xfId="64" applyNumberFormat="1" applyBorder="1" applyAlignment="1">
      <alignment vertical="center"/>
    </xf>
    <xf numFmtId="0" fontId="1" fillId="0" borderId="1" xfId="64" applyBorder="1" applyAlignment="1">
      <alignment vertical="center"/>
    </xf>
    <xf numFmtId="49" fontId="1" fillId="0" borderId="55" xfId="64" applyNumberFormat="1" applyBorder="1" applyAlignment="1">
      <alignment vertical="center"/>
    </xf>
    <xf numFmtId="175" fontId="1" fillId="0" borderId="85" xfId="64" applyNumberFormat="1" applyBorder="1" applyAlignment="1">
      <alignment vertical="center"/>
    </xf>
    <xf numFmtId="0" fontId="1" fillId="0" borderId="85" xfId="64" applyBorder="1" applyAlignment="1">
      <alignment vertical="center"/>
    </xf>
    <xf numFmtId="49" fontId="1" fillId="0" borderId="2" xfId="64" applyNumberFormat="1" applyBorder="1" applyAlignment="1">
      <alignment vertical="center"/>
    </xf>
    <xf numFmtId="0" fontId="1" fillId="0" borderId="79" xfId="64" applyBorder="1" applyAlignment="1">
      <alignment vertical="center" wrapText="1"/>
    </xf>
    <xf numFmtId="49" fontId="1" fillId="0" borderId="18" xfId="64" applyNumberFormat="1" applyBorder="1" applyAlignment="1">
      <alignment vertical="center"/>
    </xf>
    <xf numFmtId="175" fontId="1" fillId="0" borderId="21" xfId="64" applyNumberFormat="1" applyBorder="1" applyAlignment="1">
      <alignment vertical="center"/>
    </xf>
    <xf numFmtId="0" fontId="1" fillId="0" borderId="21" xfId="64" applyBorder="1" applyAlignment="1">
      <alignment vertical="center"/>
    </xf>
    <xf numFmtId="0" fontId="1" fillId="0" borderId="35" xfId="64" applyBorder="1" applyAlignment="1">
      <alignment vertical="center" wrapText="1"/>
    </xf>
    <xf numFmtId="0" fontId="1" fillId="0" borderId="0" xfId="66"/>
    <xf numFmtId="0" fontId="49" fillId="20" borderId="0" xfId="66" applyFont="1" applyFill="1"/>
    <xf numFmtId="0" fontId="49" fillId="0" borderId="198" xfId="67" applyFont="1" applyBorder="1" applyAlignment="1">
      <alignment wrapText="1"/>
    </xf>
    <xf numFmtId="0" fontId="49" fillId="0" borderId="199" xfId="67" applyFont="1" applyBorder="1"/>
    <xf numFmtId="0" fontId="49" fillId="0" borderId="200" xfId="67" applyFont="1" applyBorder="1" applyAlignment="1">
      <alignment wrapText="1"/>
    </xf>
    <xf numFmtId="0" fontId="49" fillId="0" borderId="201" xfId="67" applyFont="1" applyBorder="1"/>
    <xf numFmtId="0" fontId="49" fillId="0" borderId="201" xfId="67" applyFont="1" applyBorder="1" applyAlignment="1">
      <alignment vertical="center"/>
    </xf>
    <xf numFmtId="0" fontId="49" fillId="20" borderId="201" xfId="66" applyFont="1" applyFill="1" applyBorder="1"/>
    <xf numFmtId="0" fontId="1" fillId="0" borderId="200" xfId="66" applyBorder="1"/>
    <xf numFmtId="0" fontId="49" fillId="0" borderId="198" xfId="67" applyFont="1" applyBorder="1" applyAlignment="1">
      <alignment horizontal="center" vertical="center"/>
    </xf>
    <xf numFmtId="49" fontId="49" fillId="0" borderId="202" xfId="67" applyNumberFormat="1" applyFont="1" applyBorder="1" applyAlignment="1">
      <alignment horizontal="center"/>
    </xf>
    <xf numFmtId="177" fontId="1" fillId="0" borderId="202" xfId="5" applyNumberFormat="1" applyFont="1" applyBorder="1" applyAlignment="1">
      <alignment horizontal="right" vertical="center"/>
    </xf>
    <xf numFmtId="0" fontId="49" fillId="0" borderId="200" xfId="67" applyFont="1" applyBorder="1" applyAlignment="1">
      <alignment horizontal="center" vertical="center"/>
    </xf>
    <xf numFmtId="49" fontId="49" fillId="0" borderId="0" xfId="67" applyNumberFormat="1" applyFont="1" applyAlignment="1">
      <alignment horizontal="center"/>
    </xf>
    <xf numFmtId="178" fontId="1" fillId="0" borderId="0" xfId="5" applyNumberFormat="1" applyFont="1" applyBorder="1" applyAlignment="1">
      <alignment horizontal="right" vertical="center"/>
    </xf>
    <xf numFmtId="0" fontId="52" fillId="0" borderId="200" xfId="67" applyFont="1" applyBorder="1" applyAlignment="1">
      <alignment horizontal="center" vertical="center"/>
    </xf>
    <xf numFmtId="179" fontId="1" fillId="0" borderId="0" xfId="5" applyNumberFormat="1" applyFont="1" applyBorder="1" applyAlignment="1">
      <alignment horizontal="right" vertical="center"/>
    </xf>
    <xf numFmtId="176" fontId="0" fillId="0" borderId="0" xfId="5" applyNumberFormat="1" applyFont="1" applyBorder="1" applyAlignment="1">
      <alignment vertical="center"/>
    </xf>
    <xf numFmtId="43" fontId="0" fillId="0" borderId="0" xfId="5" applyFont="1" applyBorder="1" applyAlignment="1">
      <alignment vertical="center"/>
    </xf>
    <xf numFmtId="168" fontId="0" fillId="0" borderId="0" xfId="5" applyNumberFormat="1" applyFont="1" applyBorder="1" applyAlignment="1">
      <alignment vertical="center"/>
    </xf>
    <xf numFmtId="174" fontId="0" fillId="0" borderId="0" xfId="5" applyNumberFormat="1" applyFont="1" applyBorder="1" applyAlignment="1">
      <alignment vertical="center"/>
    </xf>
    <xf numFmtId="0" fontId="49" fillId="0" borderId="203" xfId="67" applyFont="1" applyBorder="1" applyAlignment="1">
      <alignment horizontal="center" vertical="center"/>
    </xf>
    <xf numFmtId="49" fontId="49" fillId="0" borderId="204" xfId="67" applyNumberFormat="1" applyFont="1" applyBorder="1" applyAlignment="1">
      <alignment horizontal="center"/>
    </xf>
    <xf numFmtId="174" fontId="0" fillId="0" borderId="204" xfId="5" applyNumberFormat="1" applyFont="1" applyBorder="1" applyAlignment="1">
      <alignment vertical="center"/>
    </xf>
    <xf numFmtId="0" fontId="49" fillId="0" borderId="205" xfId="67" applyFont="1" applyBorder="1"/>
    <xf numFmtId="0" fontId="53" fillId="18" borderId="206" xfId="67" applyFont="1" applyFill="1" applyBorder="1" applyAlignment="1">
      <alignment horizontal="center"/>
    </xf>
    <xf numFmtId="0" fontId="53" fillId="18" borderId="207" xfId="67" applyFont="1" applyFill="1" applyBorder="1" applyAlignment="1">
      <alignment horizontal="center"/>
    </xf>
    <xf numFmtId="0" fontId="53" fillId="18" borderId="208" xfId="67" applyFont="1" applyFill="1" applyBorder="1" applyAlignment="1">
      <alignment horizontal="center"/>
    </xf>
    <xf numFmtId="0" fontId="53" fillId="18" borderId="209" xfId="67" applyFont="1" applyFill="1" applyBorder="1" applyAlignment="1">
      <alignment horizontal="center" wrapText="1"/>
    </xf>
    <xf numFmtId="0" fontId="53" fillId="18" borderId="210" xfId="67" applyFont="1" applyFill="1" applyBorder="1" applyAlignment="1">
      <alignment horizontal="center"/>
    </xf>
    <xf numFmtId="165" fontId="54" fillId="16" borderId="22" xfId="67" applyNumberFormat="1" applyFont="1" applyFill="1" applyBorder="1" applyAlignment="1">
      <alignment vertical="center"/>
    </xf>
    <xf numFmtId="164" fontId="54" fillId="0" borderId="23" xfId="67" applyNumberFormat="1" applyFont="1" applyBorder="1" applyAlignment="1">
      <alignment horizontal="center"/>
    </xf>
    <xf numFmtId="3" fontId="54" fillId="0" borderId="23" xfId="67" applyNumberFormat="1" applyFont="1" applyBorder="1"/>
    <xf numFmtId="3" fontId="54" fillId="0" borderId="23" xfId="67" applyNumberFormat="1" applyFont="1" applyBorder="1" applyAlignment="1">
      <alignment horizontal="center"/>
    </xf>
    <xf numFmtId="3" fontId="54" fillId="0" borderId="23" xfId="67" applyNumberFormat="1" applyFont="1" applyBorder="1" applyAlignment="1">
      <alignment horizontal="center" wrapText="1"/>
    </xf>
    <xf numFmtId="0" fontId="55" fillId="18" borderId="125" xfId="67" applyFont="1" applyFill="1" applyBorder="1" applyAlignment="1">
      <alignment horizontal="right"/>
    </xf>
    <xf numFmtId="164" fontId="54" fillId="0" borderId="91" xfId="67" applyNumberFormat="1" applyFont="1" applyBorder="1" applyAlignment="1">
      <alignment horizontal="center"/>
    </xf>
    <xf numFmtId="165" fontId="54" fillId="16" borderId="0" xfId="67" applyNumberFormat="1" applyFont="1" applyFill="1" applyAlignment="1">
      <alignment vertical="center"/>
    </xf>
    <xf numFmtId="164" fontId="54" fillId="0" borderId="0" xfId="67" applyNumberFormat="1" applyFont="1" applyAlignment="1">
      <alignment horizontal="center"/>
    </xf>
    <xf numFmtId="3" fontId="54" fillId="0" borderId="0" xfId="67" applyNumberFormat="1" applyFont="1"/>
    <xf numFmtId="3" fontId="54" fillId="0" borderId="0" xfId="67" applyNumberFormat="1" applyFont="1" applyAlignment="1">
      <alignment horizontal="center"/>
    </xf>
    <xf numFmtId="3" fontId="54" fillId="0" borderId="0" xfId="67" applyNumberFormat="1" applyFont="1" applyAlignment="1">
      <alignment horizontal="center" wrapText="1"/>
    </xf>
    <xf numFmtId="0" fontId="55" fillId="18" borderId="120" xfId="67" applyFont="1" applyFill="1" applyBorder="1" applyAlignment="1">
      <alignment horizontal="right"/>
    </xf>
    <xf numFmtId="180" fontId="54" fillId="0" borderId="91" xfId="67" applyNumberFormat="1" applyFont="1" applyBorder="1" applyAlignment="1">
      <alignment horizontal="center"/>
    </xf>
    <xf numFmtId="180" fontId="54" fillId="0" borderId="0" xfId="67" applyNumberFormat="1" applyFont="1" applyAlignment="1">
      <alignment horizontal="center"/>
    </xf>
    <xf numFmtId="0" fontId="56" fillId="16" borderId="0" xfId="67" applyFont="1" applyFill="1"/>
    <xf numFmtId="164" fontId="54" fillId="0" borderId="0" xfId="67" applyNumberFormat="1" applyFont="1"/>
    <xf numFmtId="1" fontId="54" fillId="0" borderId="0" xfId="67" applyNumberFormat="1" applyFont="1"/>
    <xf numFmtId="1" fontId="54" fillId="0" borderId="0" xfId="67" applyNumberFormat="1" applyFont="1" applyAlignment="1">
      <alignment horizontal="center" vertical="center"/>
    </xf>
    <xf numFmtId="173" fontId="54" fillId="0" borderId="0" xfId="67" applyNumberFormat="1" applyFont="1" applyAlignment="1">
      <alignment horizontal="center" wrapText="1"/>
    </xf>
    <xf numFmtId="164" fontId="54" fillId="0" borderId="0" xfId="67" applyNumberFormat="1" applyFont="1" applyAlignment="1">
      <alignment horizontal="center" vertical="center"/>
    </xf>
    <xf numFmtId="0" fontId="54" fillId="0" borderId="0" xfId="67" applyFont="1" applyAlignment="1">
      <alignment horizontal="center"/>
    </xf>
    <xf numFmtId="167" fontId="54" fillId="16" borderId="0" xfId="67" applyNumberFormat="1" applyFont="1" applyFill="1" applyAlignment="1">
      <alignment vertical="center" wrapText="1"/>
    </xf>
    <xf numFmtId="0" fontId="55" fillId="18" borderId="22" xfId="67" applyFont="1" applyFill="1" applyBorder="1" applyAlignment="1">
      <alignment horizontal="center"/>
    </xf>
    <xf numFmtId="0" fontId="55" fillId="18" borderId="23" xfId="67" applyFont="1" applyFill="1" applyBorder="1" applyAlignment="1">
      <alignment horizontal="center"/>
    </xf>
    <xf numFmtId="0" fontId="55" fillId="18" borderId="23" xfId="67" applyFont="1" applyFill="1" applyBorder="1" applyAlignment="1">
      <alignment horizontal="center" wrapText="1"/>
    </xf>
    <xf numFmtId="0" fontId="55" fillId="18" borderId="125" xfId="67" applyFont="1" applyFill="1" applyBorder="1" applyAlignment="1">
      <alignment horizontal="center"/>
    </xf>
    <xf numFmtId="165" fontId="49" fillId="16" borderId="22" xfId="67" applyNumberFormat="1" applyFont="1" applyFill="1" applyBorder="1" applyAlignment="1">
      <alignment vertical="center"/>
    </xf>
    <xf numFmtId="180" fontId="49" fillId="0" borderId="23" xfId="67" applyNumberFormat="1" applyFont="1" applyBorder="1" applyAlignment="1">
      <alignment horizontal="center"/>
    </xf>
    <xf numFmtId="164" fontId="49" fillId="0" borderId="23" xfId="67" applyNumberFormat="1" applyFont="1" applyBorder="1" applyAlignment="1">
      <alignment horizontal="center"/>
    </xf>
    <xf numFmtId="164" fontId="49" fillId="0" borderId="23" xfId="67" applyNumberFormat="1" applyFont="1" applyBorder="1" applyAlignment="1">
      <alignment horizontal="right" wrapText="1"/>
    </xf>
    <xf numFmtId="3" fontId="49" fillId="0" borderId="91" xfId="67" applyNumberFormat="1" applyFont="1" applyBorder="1" applyAlignment="1">
      <alignment horizontal="center"/>
    </xf>
    <xf numFmtId="165" fontId="49" fillId="16" borderId="0" xfId="67" applyNumberFormat="1" applyFont="1" applyFill="1" applyAlignment="1">
      <alignment vertical="center"/>
    </xf>
    <xf numFmtId="164" fontId="49" fillId="0" borderId="0" xfId="67" applyNumberFormat="1" applyFont="1" applyAlignment="1">
      <alignment horizontal="center"/>
    </xf>
    <xf numFmtId="3" fontId="49" fillId="0" borderId="0" xfId="67" applyNumberFormat="1" applyFont="1" applyAlignment="1">
      <alignment horizontal="right" vertical="center" wrapText="1"/>
    </xf>
    <xf numFmtId="3" fontId="49" fillId="0" borderId="0" xfId="67" applyNumberFormat="1" applyFont="1" applyAlignment="1">
      <alignment horizontal="center"/>
    </xf>
    <xf numFmtId="180" fontId="49" fillId="0" borderId="0" xfId="68" applyNumberFormat="1" applyFont="1" applyFill="1" applyAlignment="1">
      <alignment horizontal="right" wrapText="1"/>
    </xf>
    <xf numFmtId="180" fontId="49" fillId="0" borderId="0" xfId="67" applyNumberFormat="1" applyFont="1" applyAlignment="1">
      <alignment horizontal="right" wrapText="1"/>
    </xf>
    <xf numFmtId="164" fontId="49" fillId="0" borderId="91" xfId="67" applyNumberFormat="1" applyFont="1" applyBorder="1" applyAlignment="1">
      <alignment horizontal="center"/>
    </xf>
    <xf numFmtId="180" fontId="49" fillId="0" borderId="0" xfId="67" applyNumberFormat="1" applyFont="1" applyAlignment="1">
      <alignment horizontal="center"/>
    </xf>
    <xf numFmtId="3" fontId="49" fillId="0" borderId="0" xfId="67" applyNumberFormat="1" applyFont="1" applyAlignment="1">
      <alignment horizontal="right" wrapText="1"/>
    </xf>
    <xf numFmtId="0" fontId="49" fillId="0" borderId="0" xfId="67" applyFont="1" applyAlignment="1">
      <alignment horizontal="center"/>
    </xf>
    <xf numFmtId="0" fontId="53" fillId="16" borderId="0" xfId="67" applyFont="1" applyFill="1" applyAlignment="1">
      <alignment horizontal="center" wrapText="1"/>
    </xf>
    <xf numFmtId="1" fontId="54" fillId="0" borderId="23" xfId="67" applyNumberFormat="1" applyFont="1" applyBorder="1" applyAlignment="1">
      <alignment horizontal="center"/>
    </xf>
    <xf numFmtId="164" fontId="54" fillId="0" borderId="23" xfId="67" applyNumberFormat="1" applyFont="1" applyBorder="1" applyAlignment="1">
      <alignment horizontal="center" wrapText="1"/>
    </xf>
    <xf numFmtId="164" fontId="54" fillId="0" borderId="0" xfId="67" applyNumberFormat="1" applyFont="1" applyAlignment="1">
      <alignment horizontal="center" wrapText="1"/>
    </xf>
    <xf numFmtId="0" fontId="53" fillId="18" borderId="120" xfId="67" applyFont="1" applyFill="1" applyBorder="1" applyAlignment="1">
      <alignment horizontal="right"/>
    </xf>
    <xf numFmtId="165" fontId="54" fillId="16" borderId="0" xfId="67" applyNumberFormat="1" applyFont="1" applyFill="1" applyAlignment="1">
      <alignment vertical="center" wrapText="1"/>
    </xf>
    <xf numFmtId="0" fontId="53" fillId="18" borderId="23" xfId="67" applyFont="1" applyFill="1" applyBorder="1" applyAlignment="1">
      <alignment horizontal="center"/>
    </xf>
    <xf numFmtId="0" fontId="1" fillId="16" borderId="22" xfId="66" applyFill="1" applyBorder="1"/>
    <xf numFmtId="3" fontId="49" fillId="0" borderId="23" xfId="67" applyNumberFormat="1" applyFont="1" applyBorder="1" applyAlignment="1">
      <alignment horizontal="center" vertical="center" wrapText="1"/>
    </xf>
    <xf numFmtId="180" fontId="49" fillId="0" borderId="23" xfId="67" applyNumberFormat="1" applyFont="1" applyBorder="1" applyAlignment="1">
      <alignment horizontal="center" vertical="center"/>
    </xf>
    <xf numFmtId="164" fontId="49" fillId="0" borderId="23" xfId="67" applyNumberFormat="1" applyFont="1" applyBorder="1" applyAlignment="1">
      <alignment horizontal="center" vertical="center"/>
    </xf>
    <xf numFmtId="165" fontId="49" fillId="0" borderId="23" xfId="67" applyNumberFormat="1" applyFont="1" applyBorder="1" applyAlignment="1">
      <alignment horizontal="center" vertical="center" wrapText="1"/>
    </xf>
    <xf numFmtId="0" fontId="53" fillId="18" borderId="125" xfId="67" applyFont="1" applyFill="1" applyBorder="1" applyAlignment="1">
      <alignment horizontal="right"/>
    </xf>
    <xf numFmtId="11" fontId="49" fillId="0" borderId="0" xfId="67" applyNumberFormat="1" applyFont="1" applyAlignment="1">
      <alignment horizontal="center" vertical="center"/>
    </xf>
    <xf numFmtId="180" fontId="49" fillId="0" borderId="91" xfId="67" applyNumberFormat="1" applyFont="1" applyBorder="1" applyAlignment="1">
      <alignment horizontal="center" vertical="center"/>
    </xf>
    <xf numFmtId="165" fontId="49" fillId="16" borderId="0" xfId="67" applyNumberFormat="1" applyFont="1" applyFill="1" applyAlignment="1">
      <alignment horizontal="center" vertical="center"/>
    </xf>
    <xf numFmtId="180" fontId="49" fillId="0" borderId="0" xfId="67" applyNumberFormat="1" applyFont="1" applyAlignment="1">
      <alignment horizontal="center" vertical="center"/>
    </xf>
    <xf numFmtId="180" fontId="49" fillId="0" borderId="0" xfId="67" applyNumberFormat="1" applyFont="1" applyAlignment="1">
      <alignment horizontal="center" vertical="center" wrapText="1"/>
    </xf>
    <xf numFmtId="3" fontId="49" fillId="0" borderId="91" xfId="67" applyNumberFormat="1" applyFont="1" applyBorder="1" applyAlignment="1">
      <alignment horizontal="center" vertical="center" wrapText="1"/>
    </xf>
    <xf numFmtId="3" fontId="49" fillId="0" borderId="0" xfId="67" applyNumberFormat="1" applyFont="1" applyAlignment="1">
      <alignment horizontal="center" vertical="center"/>
    </xf>
    <xf numFmtId="3" fontId="49" fillId="0" borderId="0" xfId="67" applyNumberFormat="1" applyFont="1" applyAlignment="1">
      <alignment horizontal="center" vertical="center" wrapText="1"/>
    </xf>
    <xf numFmtId="173" fontId="49" fillId="0" borderId="91" xfId="67" applyNumberFormat="1" applyFont="1" applyBorder="1" applyAlignment="1">
      <alignment horizontal="center" vertical="center" wrapText="1"/>
    </xf>
    <xf numFmtId="164" fontId="49" fillId="0" borderId="0" xfId="67" applyNumberFormat="1" applyFont="1" applyAlignment="1">
      <alignment horizontal="center" vertical="center"/>
    </xf>
    <xf numFmtId="173" fontId="49" fillId="0" borderId="0" xfId="67" applyNumberFormat="1" applyFont="1" applyAlignment="1">
      <alignment horizontal="center" vertical="center" wrapText="1"/>
    </xf>
    <xf numFmtId="164" fontId="49" fillId="0" borderId="91" xfId="67" applyNumberFormat="1" applyFont="1" applyBorder="1" applyAlignment="1">
      <alignment horizontal="center" vertical="center" wrapText="1"/>
    </xf>
    <xf numFmtId="11" fontId="49" fillId="0" borderId="0" xfId="67" applyNumberFormat="1" applyFont="1" applyAlignment="1">
      <alignment horizontal="center" vertical="center" wrapText="1"/>
    </xf>
    <xf numFmtId="173" fontId="49" fillId="0" borderId="0" xfId="67" applyNumberFormat="1" applyFont="1" applyAlignment="1">
      <alignment horizontal="center" vertical="center"/>
    </xf>
    <xf numFmtId="165" fontId="49" fillId="16" borderId="0" xfId="67" applyNumberFormat="1" applyFont="1" applyFill="1" applyAlignment="1">
      <alignment horizontal="center" vertical="center" wrapText="1"/>
    </xf>
    <xf numFmtId="0" fontId="53" fillId="18" borderId="16" xfId="67" applyFont="1" applyFill="1" applyBorder="1" applyAlignment="1">
      <alignment horizontal="right"/>
    </xf>
    <xf numFmtId="0" fontId="53" fillId="18" borderId="46" xfId="67" applyFont="1" applyFill="1" applyBorder="1" applyAlignment="1">
      <alignment horizontal="center"/>
    </xf>
    <xf numFmtId="0" fontId="53" fillId="18" borderId="23" xfId="67" applyFont="1" applyFill="1" applyBorder="1" applyAlignment="1">
      <alignment horizontal="center" wrapText="1"/>
    </xf>
    <xf numFmtId="0" fontId="53" fillId="18" borderId="125" xfId="67" applyFont="1" applyFill="1" applyBorder="1" applyAlignment="1">
      <alignment horizontal="center"/>
    </xf>
    <xf numFmtId="0" fontId="1" fillId="0" borderId="0" xfId="66" applyAlignment="1">
      <alignment horizontal="left" vertical="center" wrapText="1"/>
    </xf>
    <xf numFmtId="0" fontId="1" fillId="0" borderId="58" xfId="64" applyBorder="1" applyAlignment="1">
      <alignment vertical="center" wrapText="1"/>
    </xf>
    <xf numFmtId="4" fontId="1" fillId="16" borderId="3" xfId="0" applyNumberFormat="1" applyFont="1" applyFill="1" applyBorder="1" applyAlignment="1">
      <alignment horizontal="center" vertical="center" wrapText="1"/>
    </xf>
    <xf numFmtId="4" fontId="1" fillId="16" borderId="1" xfId="0" applyNumberFormat="1" applyFont="1" applyFill="1" applyBorder="1" applyAlignment="1">
      <alignment horizontal="center" vertical="center" wrapText="1"/>
    </xf>
    <xf numFmtId="4" fontId="1" fillId="16" borderId="21" xfId="0" applyNumberFormat="1" applyFont="1" applyFill="1" applyBorder="1" applyAlignment="1">
      <alignment horizontal="center" vertical="center" wrapText="1"/>
    </xf>
    <xf numFmtId="3" fontId="1" fillId="16" borderId="3" xfId="0" applyNumberFormat="1" applyFont="1" applyFill="1" applyBorder="1" applyAlignment="1">
      <alignment horizontal="center" vertical="center" wrapText="1"/>
    </xf>
    <xf numFmtId="4" fontId="1" fillId="16" borderId="88" xfId="0" applyNumberFormat="1" applyFont="1" applyFill="1" applyBorder="1" applyAlignment="1">
      <alignment horizontal="center" vertical="center" wrapText="1"/>
    </xf>
    <xf numFmtId="3" fontId="1" fillId="16" borderId="1" xfId="0" applyNumberFormat="1" applyFont="1" applyFill="1" applyBorder="1" applyAlignment="1">
      <alignment horizontal="center" vertical="center" wrapText="1"/>
    </xf>
    <xf numFmtId="4" fontId="1" fillId="16" borderId="79" xfId="0" applyNumberFormat="1" applyFont="1" applyFill="1" applyBorder="1" applyAlignment="1">
      <alignment horizontal="center" vertical="center" wrapText="1"/>
    </xf>
    <xf numFmtId="3" fontId="1" fillId="16" borderId="21" xfId="0" applyNumberFormat="1" applyFont="1" applyFill="1" applyBorder="1" applyAlignment="1">
      <alignment horizontal="center" vertical="center" wrapText="1"/>
    </xf>
    <xf numFmtId="4" fontId="1" fillId="16" borderId="35" xfId="0" applyNumberFormat="1" applyFont="1" applyFill="1" applyBorder="1" applyAlignment="1">
      <alignment horizontal="center" vertical="center" wrapText="1"/>
    </xf>
    <xf numFmtId="4" fontId="0" fillId="15" borderId="3" xfId="0" applyNumberFormat="1" applyFill="1" applyBorder="1" applyAlignment="1">
      <alignment horizontal="center" vertical="center" wrapText="1"/>
    </xf>
    <xf numFmtId="4" fontId="0" fillId="15" borderId="1" xfId="0" applyNumberFormat="1" applyFill="1" applyBorder="1" applyAlignment="1">
      <alignment horizontal="center" vertical="center" wrapText="1"/>
    </xf>
    <xf numFmtId="4" fontId="0" fillId="15" borderId="21" xfId="0" applyNumberFormat="1" applyFill="1" applyBorder="1" applyAlignment="1">
      <alignment horizontal="center" vertical="center" wrapText="1"/>
    </xf>
    <xf numFmtId="4" fontId="5" fillId="3" borderId="1" xfId="0" applyNumberFormat="1" applyFont="1" applyFill="1" applyBorder="1" applyAlignment="1">
      <alignment horizontal="center" vertical="center"/>
    </xf>
    <xf numFmtId="4" fontId="5" fillId="3" borderId="1" xfId="0" applyNumberFormat="1" applyFont="1" applyFill="1" applyBorder="1" applyAlignment="1">
      <alignment horizontal="center" vertical="center" wrapText="1"/>
    </xf>
    <xf numFmtId="3" fontId="5" fillId="16" borderId="1" xfId="0" applyNumberFormat="1" applyFont="1" applyFill="1" applyBorder="1" applyAlignment="1">
      <alignment horizontal="center" vertical="center"/>
    </xf>
    <xf numFmtId="4" fontId="5" fillId="16" borderId="1" xfId="0" applyNumberFormat="1" applyFont="1" applyFill="1" applyBorder="1" applyAlignment="1">
      <alignment horizontal="center" vertical="center"/>
    </xf>
    <xf numFmtId="4" fontId="0" fillId="16" borderId="1" xfId="0" applyNumberFormat="1" applyFill="1" applyBorder="1" applyAlignment="1">
      <alignment horizontal="center" vertical="center" wrapText="1"/>
    </xf>
    <xf numFmtId="4" fontId="0" fillId="16" borderId="21" xfId="0" applyNumberFormat="1" applyFill="1" applyBorder="1" applyAlignment="1">
      <alignment horizontal="center" vertical="center" wrapText="1"/>
    </xf>
    <xf numFmtId="3" fontId="0" fillId="16" borderId="3" xfId="0" applyNumberFormat="1" applyFill="1" applyBorder="1" applyAlignment="1">
      <alignment horizontal="center" vertical="center" wrapText="1"/>
    </xf>
    <xf numFmtId="4" fontId="0" fillId="16" borderId="88" xfId="0" applyNumberFormat="1" applyFill="1" applyBorder="1" applyAlignment="1">
      <alignment horizontal="center" vertical="center" wrapText="1"/>
    </xf>
    <xf numFmtId="3" fontId="0" fillId="16" borderId="1" xfId="0" applyNumberFormat="1" applyFill="1" applyBorder="1" applyAlignment="1">
      <alignment horizontal="center" vertical="center" wrapText="1"/>
    </xf>
    <xf numFmtId="4" fontId="0" fillId="16" borderId="79" xfId="0" applyNumberFormat="1" applyFill="1" applyBorder="1" applyAlignment="1">
      <alignment horizontal="center" vertical="center" wrapText="1"/>
    </xf>
    <xf numFmtId="3" fontId="0" fillId="16" borderId="21" xfId="0" applyNumberFormat="1" applyFill="1" applyBorder="1" applyAlignment="1">
      <alignment horizontal="center" vertical="center" wrapText="1"/>
    </xf>
    <xf numFmtId="4" fontId="0" fillId="16" borderId="35" xfId="0" applyNumberFormat="1" applyFill="1" applyBorder="1" applyAlignment="1">
      <alignment horizontal="center" vertical="center" wrapText="1"/>
    </xf>
    <xf numFmtId="4" fontId="0" fillId="16" borderId="3" xfId="0" applyNumberFormat="1" applyFill="1" applyBorder="1" applyAlignment="1">
      <alignment horizontal="center" vertical="center" wrapText="1"/>
    </xf>
    <xf numFmtId="4" fontId="5" fillId="16" borderId="1" xfId="0" applyNumberFormat="1" applyFont="1" applyFill="1" applyBorder="1" applyAlignment="1">
      <alignment horizontal="center" vertical="center" wrapText="1"/>
    </xf>
    <xf numFmtId="0" fontId="0" fillId="16" borderId="88" xfId="0" applyFill="1" applyBorder="1" applyAlignment="1">
      <alignment horizontal="center" vertical="center"/>
    </xf>
    <xf numFmtId="0" fontId="0" fillId="16" borderId="94" xfId="0" applyFill="1" applyBorder="1" applyAlignment="1">
      <alignment horizontal="center" vertical="center"/>
    </xf>
    <xf numFmtId="0" fontId="0" fillId="16" borderId="79" xfId="0" applyFill="1" applyBorder="1" applyAlignment="1">
      <alignment horizontal="center" vertical="center"/>
    </xf>
    <xf numFmtId="0" fontId="0" fillId="16" borderId="35" xfId="0" applyFill="1" applyBorder="1" applyAlignment="1">
      <alignment horizontal="center" vertical="center"/>
    </xf>
    <xf numFmtId="4" fontId="1" fillId="16" borderId="90" xfId="0" applyNumberFormat="1" applyFont="1" applyFill="1" applyBorder="1" applyAlignment="1">
      <alignment horizontal="center" vertical="center" wrapText="1"/>
    </xf>
    <xf numFmtId="4" fontId="1" fillId="16" borderId="77" xfId="0" applyNumberFormat="1" applyFont="1" applyFill="1" applyBorder="1" applyAlignment="1">
      <alignment horizontal="center" vertical="center" wrapText="1"/>
    </xf>
    <xf numFmtId="4" fontId="1" fillId="16" borderId="82" xfId="0" applyNumberFormat="1" applyFont="1" applyFill="1" applyBorder="1" applyAlignment="1">
      <alignment horizontal="center" vertical="center" wrapText="1"/>
    </xf>
    <xf numFmtId="0" fontId="1" fillId="16" borderId="1" xfId="0" applyFont="1" applyFill="1" applyBorder="1" applyAlignment="1">
      <alignment horizontal="center" vertical="center"/>
    </xf>
    <xf numFmtId="4" fontId="1" fillId="16" borderId="1" xfId="0" applyNumberFormat="1" applyFont="1" applyFill="1" applyBorder="1" applyAlignment="1">
      <alignment horizontal="center" vertical="center"/>
    </xf>
    <xf numFmtId="167" fontId="1" fillId="16" borderId="1" xfId="0" applyNumberFormat="1" applyFont="1" applyFill="1" applyBorder="1" applyAlignment="1">
      <alignment horizontal="center" vertical="center" wrapText="1"/>
    </xf>
    <xf numFmtId="173" fontId="5" fillId="16" borderId="1" xfId="0" applyNumberFormat="1" applyFont="1" applyFill="1" applyBorder="1" applyAlignment="1">
      <alignment horizontal="center" vertical="center"/>
    </xf>
    <xf numFmtId="174" fontId="1" fillId="14" borderId="89" xfId="0" applyNumberFormat="1" applyFont="1" applyFill="1" applyBorder="1" applyAlignment="1">
      <alignment horizontal="center" vertical="center"/>
    </xf>
    <xf numFmtId="1" fontId="1" fillId="14" borderId="46" xfId="0" applyNumberFormat="1" applyFont="1" applyFill="1" applyBorder="1" applyAlignment="1">
      <alignment horizontal="center" vertical="center"/>
    </xf>
    <xf numFmtId="2" fontId="1" fillId="15" borderId="79" xfId="0" applyNumberFormat="1" applyFont="1" applyFill="1" applyBorder="1" applyAlignment="1" applyProtection="1">
      <alignment horizontal="center" vertical="center"/>
      <protection locked="0"/>
    </xf>
    <xf numFmtId="4" fontId="1" fillId="7" borderId="1" xfId="0" applyNumberFormat="1" applyFont="1" applyFill="1" applyBorder="1" applyAlignment="1" applyProtection="1">
      <alignment horizontal="center" vertical="center"/>
      <protection locked="0"/>
    </xf>
    <xf numFmtId="165" fontId="1" fillId="7" borderId="1" xfId="0" applyNumberFormat="1" applyFont="1" applyFill="1" applyBorder="1" applyAlignment="1" applyProtection="1">
      <alignment horizontal="center" vertical="center"/>
      <protection locked="0"/>
    </xf>
    <xf numFmtId="0" fontId="37" fillId="7" borderId="87" xfId="0" applyFont="1" applyFill="1" applyBorder="1" applyProtection="1">
      <protection locked="0"/>
    </xf>
    <xf numFmtId="0" fontId="37" fillId="7" borderId="3" xfId="0" applyFont="1" applyFill="1" applyBorder="1" applyProtection="1">
      <protection locked="0"/>
    </xf>
    <xf numFmtId="0" fontId="37" fillId="7" borderId="142" xfId="0" applyFont="1" applyFill="1" applyBorder="1" applyProtection="1">
      <protection locked="0"/>
    </xf>
    <xf numFmtId="0" fontId="37" fillId="7" borderId="90" xfId="0" applyFont="1" applyFill="1" applyBorder="1" applyProtection="1">
      <protection locked="0"/>
    </xf>
    <xf numFmtId="0" fontId="37" fillId="7" borderId="88" xfId="0" applyFont="1" applyFill="1" applyBorder="1" applyProtection="1">
      <protection locked="0"/>
    </xf>
    <xf numFmtId="0" fontId="37" fillId="7" borderId="2" xfId="0" applyFont="1" applyFill="1" applyBorder="1" applyProtection="1">
      <protection locked="0"/>
    </xf>
    <xf numFmtId="0" fontId="37" fillId="7" borderId="1" xfId="0" applyFont="1" applyFill="1" applyBorder="1" applyProtection="1">
      <protection locked="0"/>
    </xf>
    <xf numFmtId="0" fontId="37" fillId="7" borderId="119" xfId="0" applyFont="1" applyFill="1" applyBorder="1" applyProtection="1">
      <protection locked="0"/>
    </xf>
    <xf numFmtId="0" fontId="37" fillId="7" borderId="77" xfId="0" applyFont="1" applyFill="1" applyBorder="1" applyProtection="1">
      <protection locked="0"/>
    </xf>
    <xf numFmtId="0" fontId="37" fillId="7" borderId="79" xfId="0" applyFont="1" applyFill="1" applyBorder="1" applyProtection="1">
      <protection locked="0"/>
    </xf>
    <xf numFmtId="0" fontId="37" fillId="7" borderId="42" xfId="0" applyFont="1" applyFill="1" applyBorder="1" applyProtection="1">
      <protection locked="0"/>
    </xf>
    <xf numFmtId="0" fontId="37" fillId="7" borderId="104" xfId="0" applyFont="1" applyFill="1" applyBorder="1" applyProtection="1">
      <protection locked="0"/>
    </xf>
    <xf numFmtId="0" fontId="37" fillId="7" borderId="167" xfId="0" applyFont="1" applyFill="1" applyBorder="1" applyProtection="1">
      <protection locked="0"/>
    </xf>
    <xf numFmtId="0" fontId="37" fillId="7" borderId="55" xfId="0" applyFont="1" applyFill="1" applyBorder="1" applyProtection="1">
      <protection locked="0"/>
    </xf>
    <xf numFmtId="0" fontId="37" fillId="7" borderId="85" xfId="0" applyFont="1" applyFill="1" applyBorder="1" applyProtection="1">
      <protection locked="0"/>
    </xf>
    <xf numFmtId="0" fontId="37" fillId="7" borderId="118" xfId="0" applyFont="1" applyFill="1" applyBorder="1" applyProtection="1">
      <protection locked="0"/>
    </xf>
    <xf numFmtId="0" fontId="37" fillId="7" borderId="57" xfId="0" applyFont="1" applyFill="1" applyBorder="1" applyProtection="1">
      <protection locked="0"/>
    </xf>
    <xf numFmtId="0" fontId="37" fillId="7" borderId="58" xfId="0" applyFont="1" applyFill="1" applyBorder="1" applyProtection="1">
      <protection locked="0"/>
    </xf>
    <xf numFmtId="0" fontId="39" fillId="3" borderId="14" xfId="0" applyFont="1" applyFill="1" applyBorder="1" applyProtection="1">
      <protection locked="0"/>
    </xf>
    <xf numFmtId="0" fontId="0" fillId="7" borderId="142" xfId="0" applyFill="1" applyBorder="1" applyProtection="1">
      <protection locked="0"/>
    </xf>
    <xf numFmtId="0" fontId="0" fillId="7" borderId="119" xfId="0" applyFill="1" applyBorder="1" applyProtection="1">
      <protection locked="0"/>
    </xf>
    <xf numFmtId="0" fontId="6" fillId="3" borderId="89" xfId="0" applyFont="1" applyFill="1" applyBorder="1" applyProtection="1">
      <protection locked="0"/>
    </xf>
    <xf numFmtId="0" fontId="6" fillId="3" borderId="95" xfId="0" applyFont="1" applyFill="1" applyBorder="1" applyProtection="1">
      <protection locked="0"/>
    </xf>
    <xf numFmtId="0" fontId="1" fillId="3" borderId="95" xfId="0" applyFont="1" applyFill="1" applyBorder="1" applyAlignment="1" applyProtection="1">
      <alignment horizontal="right" indent="1"/>
      <protection locked="0"/>
    </xf>
    <xf numFmtId="0" fontId="29" fillId="11" borderId="168" xfId="0" applyFont="1" applyFill="1" applyBorder="1" applyAlignment="1">
      <alignment vertical="center"/>
    </xf>
    <xf numFmtId="0" fontId="0" fillId="3" borderId="39" xfId="0" applyFill="1" applyBorder="1"/>
    <xf numFmtId="0" fontId="1" fillId="3" borderId="14" xfId="0" applyFont="1" applyFill="1" applyBorder="1" applyAlignment="1">
      <alignment vertical="center"/>
    </xf>
    <xf numFmtId="0" fontId="0" fillId="13" borderId="121" xfId="0" applyFill="1" applyBorder="1"/>
    <xf numFmtId="0" fontId="0" fillId="13" borderId="39" xfId="0" applyFill="1" applyBorder="1"/>
    <xf numFmtId="0" fontId="0" fillId="7" borderId="87" xfId="0" applyFill="1" applyBorder="1" applyProtection="1">
      <protection locked="0"/>
    </xf>
    <xf numFmtId="0" fontId="0" fillId="7" borderId="3" xfId="0" applyFill="1" applyBorder="1" applyProtection="1">
      <protection locked="0"/>
    </xf>
    <xf numFmtId="0" fontId="0" fillId="0" borderId="0" xfId="0" applyProtection="1">
      <protection locked="0"/>
    </xf>
    <xf numFmtId="0" fontId="0" fillId="7" borderId="2" xfId="0" applyFill="1" applyBorder="1" applyProtection="1">
      <protection locked="0"/>
    </xf>
    <xf numFmtId="0" fontId="0" fillId="7" borderId="1" xfId="0" applyFill="1" applyBorder="1" applyProtection="1">
      <protection locked="0"/>
    </xf>
    <xf numFmtId="0" fontId="0" fillId="7" borderId="42" xfId="0" applyFill="1" applyBorder="1" applyProtection="1">
      <protection locked="0"/>
    </xf>
    <xf numFmtId="0" fontId="0" fillId="7" borderId="104" xfId="0" applyFill="1" applyBorder="1" applyProtection="1">
      <protection locked="0"/>
    </xf>
    <xf numFmtId="0" fontId="0" fillId="7" borderId="76" xfId="0" applyFill="1" applyBorder="1" applyProtection="1">
      <protection locked="0"/>
    </xf>
    <xf numFmtId="0" fontId="0" fillId="7" borderId="134" xfId="0" applyFill="1" applyBorder="1" applyProtection="1">
      <protection locked="0"/>
    </xf>
    <xf numFmtId="0" fontId="0" fillId="7" borderId="55" xfId="0" applyFill="1" applyBorder="1" applyProtection="1">
      <protection locked="0"/>
    </xf>
    <xf numFmtId="0" fontId="0" fillId="7" borderId="85" xfId="0" applyFill="1" applyBorder="1" applyProtection="1">
      <protection locked="0"/>
    </xf>
    <xf numFmtId="0" fontId="0" fillId="7" borderId="118" xfId="0" applyFill="1" applyBorder="1" applyProtection="1">
      <protection locked="0"/>
    </xf>
    <xf numFmtId="0" fontId="0" fillId="0" borderId="24" xfId="0" applyBorder="1" applyProtection="1">
      <protection locked="0"/>
    </xf>
    <xf numFmtId="0" fontId="2" fillId="6" borderId="14" xfId="0" applyFont="1" applyFill="1" applyBorder="1" applyProtection="1">
      <protection locked="0"/>
    </xf>
    <xf numFmtId="0" fontId="0" fillId="0" borderId="46" xfId="0" applyBorder="1" applyProtection="1">
      <protection locked="0"/>
    </xf>
    <xf numFmtId="0" fontId="1" fillId="0" borderId="0" xfId="0" applyFont="1" applyProtection="1">
      <protection locked="0"/>
    </xf>
    <xf numFmtId="0" fontId="0" fillId="0" borderId="23" xfId="0" applyBorder="1" applyProtection="1">
      <protection locked="0"/>
    </xf>
    <xf numFmtId="0" fontId="0" fillId="8" borderId="14" xfId="0" applyFill="1" applyBorder="1" applyAlignment="1" applyProtection="1">
      <alignment horizontal="center" vertical="center" wrapText="1"/>
      <protection locked="0"/>
    </xf>
    <xf numFmtId="0" fontId="0" fillId="8" borderId="45" xfId="0" applyFill="1" applyBorder="1" applyAlignment="1" applyProtection="1">
      <alignment horizontal="center" vertical="center" wrapText="1"/>
      <protection locked="0"/>
    </xf>
    <xf numFmtId="0" fontId="1" fillId="8" borderId="95" xfId="0" applyFont="1" applyFill="1" applyBorder="1" applyAlignment="1" applyProtection="1">
      <alignment horizontal="center" vertical="center" wrapText="1"/>
      <protection locked="0"/>
    </xf>
    <xf numFmtId="0" fontId="1" fillId="8" borderId="14" xfId="0" applyFont="1" applyFill="1" applyBorder="1" applyAlignment="1" applyProtection="1">
      <alignment horizontal="center" vertical="center" wrapText="1"/>
      <protection locked="0"/>
    </xf>
    <xf numFmtId="0" fontId="0" fillId="9" borderId="135" xfId="0" applyFill="1" applyBorder="1" applyProtection="1">
      <protection locked="0"/>
    </xf>
    <xf numFmtId="0" fontId="0" fillId="9" borderId="130" xfId="0" applyFill="1" applyBorder="1" applyProtection="1">
      <protection locked="0"/>
    </xf>
    <xf numFmtId="0" fontId="0" fillId="9" borderId="153" xfId="0" applyFill="1" applyBorder="1" applyProtection="1">
      <protection locked="0"/>
    </xf>
    <xf numFmtId="0" fontId="0" fillId="10" borderId="135" xfId="0" applyFill="1" applyBorder="1" applyProtection="1">
      <protection locked="0"/>
    </xf>
    <xf numFmtId="0" fontId="1" fillId="7" borderId="2" xfId="0" applyFont="1" applyFill="1" applyBorder="1" applyProtection="1">
      <protection locked="0"/>
    </xf>
    <xf numFmtId="0" fontId="29" fillId="13" borderId="12" xfId="0" applyFont="1" applyFill="1" applyBorder="1"/>
    <xf numFmtId="0" fontId="29" fillId="13" borderId="21" xfId="0" applyFont="1" applyFill="1" applyBorder="1" applyAlignment="1">
      <alignment vertical="center"/>
    </xf>
    <xf numFmtId="0" fontId="29" fillId="13" borderId="76" xfId="0" applyFont="1" applyFill="1" applyBorder="1" applyAlignment="1">
      <alignment vertical="center"/>
    </xf>
    <xf numFmtId="0" fontId="0" fillId="3" borderId="121" xfId="0" applyFill="1" applyBorder="1"/>
    <xf numFmtId="0" fontId="1" fillId="3" borderId="14" xfId="0" applyFont="1" applyFill="1" applyBorder="1" applyAlignment="1">
      <alignment horizontal="right" vertical="center"/>
    </xf>
    <xf numFmtId="0" fontId="0" fillId="17" borderId="121" xfId="0" applyFill="1" applyBorder="1"/>
    <xf numFmtId="0" fontId="1" fillId="11" borderId="46" xfId="0" applyFont="1" applyFill="1" applyBorder="1"/>
    <xf numFmtId="0" fontId="5" fillId="8" borderId="89" xfId="0" applyFont="1" applyFill="1" applyBorder="1" applyAlignment="1" applyProtection="1">
      <alignment horizontal="center" vertical="center" wrapText="1"/>
      <protection locked="0"/>
    </xf>
    <xf numFmtId="0" fontId="5" fillId="8" borderId="14" xfId="0" applyFont="1" applyFill="1" applyBorder="1" applyAlignment="1" applyProtection="1">
      <alignment horizontal="center" vertical="center" wrapText="1"/>
      <protection locked="0"/>
    </xf>
    <xf numFmtId="0" fontId="0" fillId="8" borderId="16" xfId="0" applyFill="1" applyBorder="1" applyAlignment="1" applyProtection="1">
      <alignment horizontal="left" vertical="center" wrapText="1"/>
      <protection locked="0"/>
    </xf>
    <xf numFmtId="0" fontId="0" fillId="8" borderId="41" xfId="0" applyFill="1" applyBorder="1" applyAlignment="1" applyProtection="1">
      <alignment horizontal="center" vertical="center" wrapText="1"/>
      <protection locked="0"/>
    </xf>
    <xf numFmtId="0" fontId="0" fillId="8" borderId="17" xfId="0" applyFill="1" applyBorder="1" applyAlignment="1" applyProtection="1">
      <alignment horizontal="center" vertical="center" wrapText="1"/>
      <protection locked="0"/>
    </xf>
    <xf numFmtId="0" fontId="0" fillId="8" borderId="22" xfId="0" applyFill="1" applyBorder="1" applyAlignment="1" applyProtection="1">
      <alignment horizontal="center" vertical="center" wrapText="1"/>
      <protection locked="0"/>
    </xf>
    <xf numFmtId="0" fontId="1" fillId="8" borderId="22" xfId="0" applyFont="1" applyFill="1" applyBorder="1" applyAlignment="1" applyProtection="1">
      <alignment horizontal="center" vertical="center" wrapText="1"/>
      <protection locked="0"/>
    </xf>
    <xf numFmtId="0" fontId="1" fillId="9" borderId="55" xfId="0" applyFont="1" applyFill="1" applyBorder="1" applyProtection="1">
      <protection locked="0"/>
    </xf>
    <xf numFmtId="0" fontId="0" fillId="9" borderId="85" xfId="0" applyFill="1" applyBorder="1" applyProtection="1">
      <protection locked="0"/>
    </xf>
    <xf numFmtId="0" fontId="0" fillId="9" borderId="58" xfId="0" applyFill="1" applyBorder="1" applyProtection="1">
      <protection locked="0"/>
    </xf>
    <xf numFmtId="0" fontId="1" fillId="9" borderId="2" xfId="0" applyFont="1" applyFill="1" applyBorder="1" applyProtection="1">
      <protection locked="0"/>
    </xf>
    <xf numFmtId="0" fontId="0" fillId="9" borderId="1" xfId="0" applyFill="1" applyBorder="1" applyProtection="1">
      <protection locked="0"/>
    </xf>
    <xf numFmtId="0" fontId="0" fillId="9" borderId="79" xfId="0" applyFill="1" applyBorder="1" applyProtection="1">
      <protection locked="0"/>
    </xf>
    <xf numFmtId="0" fontId="1" fillId="9" borderId="42" xfId="0" applyFont="1" applyFill="1" applyBorder="1" applyProtection="1">
      <protection locked="0"/>
    </xf>
    <xf numFmtId="0" fontId="0" fillId="9" borderId="104" xfId="0" applyFill="1" applyBorder="1" applyProtection="1">
      <protection locked="0"/>
    </xf>
    <xf numFmtId="0" fontId="0" fillId="9" borderId="59" xfId="0" applyFill="1" applyBorder="1" applyProtection="1">
      <protection locked="0"/>
    </xf>
    <xf numFmtId="0" fontId="0" fillId="7" borderId="88" xfId="0" applyFill="1" applyBorder="1" applyProtection="1">
      <protection locked="0"/>
    </xf>
    <xf numFmtId="0" fontId="0" fillId="7" borderId="79" xfId="0" applyFill="1" applyBorder="1" applyProtection="1">
      <protection locked="0"/>
    </xf>
    <xf numFmtId="0" fontId="0" fillId="7" borderId="59" xfId="0" applyFill="1" applyBorder="1" applyProtection="1">
      <protection locked="0"/>
    </xf>
    <xf numFmtId="0" fontId="0" fillId="7" borderId="58" xfId="0" applyFill="1" applyBorder="1" applyProtection="1">
      <protection locked="0"/>
    </xf>
    <xf numFmtId="0" fontId="5" fillId="12" borderId="89" xfId="0" applyFont="1" applyFill="1" applyBorder="1" applyAlignment="1" applyProtection="1">
      <alignment horizontal="center" vertical="center" wrapText="1"/>
      <protection locked="0"/>
    </xf>
    <xf numFmtId="0" fontId="5" fillId="12" borderId="46" xfId="0" applyFont="1" applyFill="1" applyBorder="1" applyAlignment="1" applyProtection="1">
      <alignment horizontal="center" vertical="center" wrapText="1"/>
      <protection locked="0"/>
    </xf>
    <xf numFmtId="43" fontId="1" fillId="3" borderId="125" xfId="0" applyNumberFormat="1" applyFont="1" applyFill="1" applyBorder="1" applyAlignment="1">
      <alignment horizontal="right"/>
    </xf>
    <xf numFmtId="0" fontId="0" fillId="9" borderId="55" xfId="0" applyFill="1" applyBorder="1" applyAlignment="1" applyProtection="1">
      <alignment vertical="center"/>
      <protection locked="0"/>
    </xf>
    <xf numFmtId="0" fontId="0" fillId="9" borderId="85" xfId="0" applyFill="1" applyBorder="1" applyAlignment="1" applyProtection="1">
      <alignment vertical="center"/>
      <protection locked="0"/>
    </xf>
    <xf numFmtId="0" fontId="0" fillId="9" borderId="58" xfId="0" applyFill="1" applyBorder="1" applyAlignment="1" applyProtection="1">
      <alignment vertical="center"/>
      <protection locked="0"/>
    </xf>
    <xf numFmtId="0" fontId="0" fillId="9" borderId="2" xfId="0" applyFill="1" applyBorder="1" applyAlignment="1" applyProtection="1">
      <alignment vertical="center"/>
      <protection locked="0"/>
    </xf>
    <xf numFmtId="0" fontId="0" fillId="9" borderId="1" xfId="0" applyFill="1" applyBorder="1" applyAlignment="1" applyProtection="1">
      <alignment vertical="center"/>
      <protection locked="0"/>
    </xf>
    <xf numFmtId="0" fontId="0" fillId="9" borderId="79" xfId="0" applyFill="1" applyBorder="1" applyAlignment="1" applyProtection="1">
      <alignment vertical="center"/>
      <protection locked="0"/>
    </xf>
    <xf numFmtId="0" fontId="0" fillId="9" borderId="42" xfId="0" applyFill="1" applyBorder="1" applyAlignment="1" applyProtection="1">
      <alignment vertical="center"/>
      <protection locked="0"/>
    </xf>
    <xf numFmtId="0" fontId="0" fillId="9" borderId="104" xfId="0" applyFill="1" applyBorder="1" applyAlignment="1" applyProtection="1">
      <alignment vertical="center"/>
      <protection locked="0"/>
    </xf>
    <xf numFmtId="0" fontId="0" fillId="9" borderId="59" xfId="0" applyFill="1" applyBorder="1" applyAlignment="1" applyProtection="1">
      <alignment vertical="center"/>
      <protection locked="0"/>
    </xf>
    <xf numFmtId="0" fontId="1" fillId="7" borderId="87" xfId="0" applyFont="1" applyFill="1" applyBorder="1" applyProtection="1">
      <protection locked="0"/>
    </xf>
    <xf numFmtId="0" fontId="1" fillId="7" borderId="42" xfId="0" applyFont="1" applyFill="1" applyBorder="1" applyProtection="1">
      <protection locked="0"/>
    </xf>
    <xf numFmtId="0" fontId="1" fillId="7" borderId="55" xfId="0" applyFont="1" applyFill="1" applyBorder="1" applyProtection="1">
      <protection locked="0"/>
    </xf>
    <xf numFmtId="0" fontId="2" fillId="6" borderId="117" xfId="0" applyFont="1" applyFill="1" applyBorder="1" applyProtection="1">
      <protection locked="0"/>
    </xf>
    <xf numFmtId="0" fontId="0" fillId="0" borderId="73" xfId="0" applyBorder="1" applyProtection="1">
      <protection locked="0"/>
    </xf>
    <xf numFmtId="0" fontId="0" fillId="8" borderId="14" xfId="0" applyFill="1" applyBorder="1" applyAlignment="1" applyProtection="1">
      <alignment vertical="center" wrapText="1"/>
      <protection locked="0"/>
    </xf>
    <xf numFmtId="0" fontId="0" fillId="8" borderId="45" xfId="0" applyFill="1" applyBorder="1" applyAlignment="1" applyProtection="1">
      <alignment vertical="center" wrapText="1"/>
      <protection locked="0"/>
    </xf>
    <xf numFmtId="0" fontId="0" fillId="9" borderId="130" xfId="0" applyFill="1" applyBorder="1" applyAlignment="1" applyProtection="1">
      <alignment vertical="center"/>
      <protection locked="0"/>
    </xf>
    <xf numFmtId="0" fontId="0" fillId="9" borderId="131" xfId="0" applyFill="1" applyBorder="1" applyAlignment="1" applyProtection="1">
      <alignment vertical="center"/>
      <protection locked="0"/>
    </xf>
    <xf numFmtId="0" fontId="0" fillId="9" borderId="153" xfId="0" applyFill="1" applyBorder="1" applyAlignment="1" applyProtection="1">
      <alignment vertical="center"/>
      <protection locked="0"/>
    </xf>
    <xf numFmtId="0" fontId="0" fillId="10" borderId="135" xfId="0" applyFill="1" applyBorder="1" applyAlignment="1" applyProtection="1">
      <alignment vertical="center"/>
      <protection locked="0"/>
    </xf>
    <xf numFmtId="0" fontId="0" fillId="0" borderId="0" xfId="0" applyAlignment="1" applyProtection="1">
      <alignment vertical="center"/>
      <protection locked="0"/>
    </xf>
    <xf numFmtId="0" fontId="0" fillId="0" borderId="87" xfId="0" applyBorder="1" applyProtection="1">
      <protection locked="0"/>
    </xf>
    <xf numFmtId="0" fontId="0" fillId="0" borderId="2" xfId="0" applyBorder="1" applyProtection="1">
      <protection locked="0"/>
    </xf>
    <xf numFmtId="0" fontId="1" fillId="0" borderId="24" xfId="0" applyFont="1" applyBorder="1" applyProtection="1">
      <protection locked="0"/>
    </xf>
    <xf numFmtId="0" fontId="0" fillId="0" borderId="26" xfId="0" applyBorder="1" applyProtection="1">
      <protection locked="0"/>
    </xf>
    <xf numFmtId="2" fontId="1" fillId="3" borderId="46" xfId="0" applyNumberFormat="1" applyFont="1" applyFill="1" applyBorder="1"/>
    <xf numFmtId="0" fontId="1" fillId="3" borderId="14" xfId="0" applyFont="1" applyFill="1" applyBorder="1"/>
    <xf numFmtId="0" fontId="0" fillId="8" borderId="16" xfId="0" applyFill="1" applyBorder="1" applyAlignment="1" applyProtection="1">
      <alignment wrapText="1"/>
      <protection locked="0"/>
    </xf>
    <xf numFmtId="0" fontId="0" fillId="8" borderId="18" xfId="0" applyFill="1" applyBorder="1" applyAlignment="1" applyProtection="1">
      <alignment wrapText="1"/>
      <protection locked="0"/>
    </xf>
    <xf numFmtId="0" fontId="0" fillId="8" borderId="23" xfId="0" applyFill="1" applyBorder="1" applyAlignment="1" applyProtection="1">
      <alignment wrapText="1"/>
      <protection locked="0"/>
    </xf>
    <xf numFmtId="0" fontId="0" fillId="8" borderId="22" xfId="0" applyFill="1" applyBorder="1" applyAlignment="1" applyProtection="1">
      <alignment wrapText="1"/>
      <protection locked="0"/>
    </xf>
    <xf numFmtId="0" fontId="0" fillId="9" borderId="135" xfId="0" applyFill="1" applyBorder="1" applyAlignment="1" applyProtection="1">
      <alignment vertical="center" wrapText="1"/>
      <protection locked="0"/>
    </xf>
    <xf numFmtId="0" fontId="0" fillId="9" borderId="130" xfId="0" applyFill="1" applyBorder="1" applyAlignment="1" applyProtection="1">
      <alignment vertical="center" wrapText="1"/>
      <protection locked="0"/>
    </xf>
    <xf numFmtId="0" fontId="0" fillId="9" borderId="143" xfId="0" applyFill="1" applyBorder="1" applyAlignment="1" applyProtection="1">
      <alignment vertical="center" wrapText="1"/>
      <protection locked="0"/>
    </xf>
    <xf numFmtId="0" fontId="0" fillId="9" borderId="152" xfId="0" applyFill="1" applyBorder="1" applyAlignment="1" applyProtection="1">
      <alignment vertical="center" wrapText="1"/>
      <protection locked="0"/>
    </xf>
    <xf numFmtId="2" fontId="0" fillId="10" borderId="152" xfId="0" applyNumberFormat="1" applyFill="1" applyBorder="1" applyAlignment="1" applyProtection="1">
      <alignment vertical="center" wrapText="1"/>
      <protection locked="0"/>
    </xf>
    <xf numFmtId="0" fontId="0" fillId="0" borderId="87" xfId="0" applyBorder="1" applyAlignment="1" applyProtection="1">
      <alignment vertical="center"/>
      <protection locked="0"/>
    </xf>
    <xf numFmtId="0" fontId="0" fillId="7" borderId="3" xfId="0" applyFill="1" applyBorder="1" applyAlignment="1" applyProtection="1">
      <alignment vertical="center"/>
      <protection locked="0"/>
    </xf>
    <xf numFmtId="0" fontId="0" fillId="0" borderId="2" xfId="0" applyBorder="1" applyAlignment="1" applyProtection="1">
      <alignment vertical="center"/>
      <protection locked="0"/>
    </xf>
    <xf numFmtId="0" fontId="0" fillId="7" borderId="1" xfId="0" applyFill="1" applyBorder="1" applyAlignment="1" applyProtection="1">
      <alignment vertical="center"/>
      <protection locked="0"/>
    </xf>
    <xf numFmtId="0" fontId="1" fillId="7" borderId="1" xfId="0" applyFont="1" applyFill="1" applyBorder="1" applyAlignment="1" applyProtection="1">
      <alignment vertical="center"/>
      <protection locked="0"/>
    </xf>
    <xf numFmtId="0" fontId="0" fillId="0" borderId="18" xfId="0" applyBorder="1" applyAlignment="1" applyProtection="1">
      <alignment vertical="center"/>
      <protection locked="0"/>
    </xf>
    <xf numFmtId="0" fontId="0" fillId="7" borderId="21" xfId="0" applyFill="1" applyBorder="1" applyAlignment="1" applyProtection="1">
      <alignment vertical="center"/>
      <protection locked="0"/>
    </xf>
    <xf numFmtId="0" fontId="0" fillId="0" borderId="12" xfId="0" applyBorder="1" applyProtection="1">
      <protection locked="0"/>
    </xf>
    <xf numFmtId="0" fontId="1" fillId="8" borderId="46" xfId="0" applyFont="1" applyFill="1" applyBorder="1" applyAlignment="1" applyProtection="1">
      <alignment horizontal="center" vertical="center" wrapText="1"/>
      <protection locked="0"/>
    </xf>
    <xf numFmtId="0" fontId="1" fillId="8" borderId="45" xfId="0" applyFont="1" applyFill="1" applyBorder="1" applyAlignment="1" applyProtection="1">
      <alignment horizontal="center" vertical="center" wrapText="1"/>
      <protection locked="0"/>
    </xf>
    <xf numFmtId="0" fontId="0" fillId="9" borderId="131" xfId="0" applyFill="1" applyBorder="1" applyAlignment="1" applyProtection="1">
      <alignment horizontal="center" vertical="center"/>
      <protection locked="0"/>
    </xf>
    <xf numFmtId="0" fontId="0" fillId="10" borderId="131" xfId="0" applyFill="1" applyBorder="1" applyAlignment="1" applyProtection="1">
      <alignment vertical="center"/>
      <protection locked="0"/>
    </xf>
    <xf numFmtId="0" fontId="1" fillId="0" borderId="87" xfId="0" applyFont="1" applyBorder="1" applyProtection="1">
      <protection locked="0"/>
    </xf>
    <xf numFmtId="0" fontId="0" fillId="0" borderId="18" xfId="0" applyBorder="1" applyProtection="1">
      <protection locked="0"/>
    </xf>
    <xf numFmtId="0" fontId="0" fillId="7" borderId="21" xfId="0" applyFill="1" applyBorder="1" applyProtection="1">
      <protection locked="0"/>
    </xf>
    <xf numFmtId="0" fontId="33" fillId="0" borderId="9" xfId="0" applyFont="1" applyBorder="1" applyProtection="1">
      <protection locked="0"/>
    </xf>
    <xf numFmtId="0" fontId="0" fillId="0" borderId="9" xfId="0" applyBorder="1" applyProtection="1">
      <protection locked="0"/>
    </xf>
    <xf numFmtId="0" fontId="0" fillId="3" borderId="88" xfId="0" applyFill="1" applyBorder="1" applyAlignment="1">
      <alignment vertical="center" wrapText="1"/>
    </xf>
    <xf numFmtId="0" fontId="0" fillId="3" borderId="79" xfId="0" applyFill="1" applyBorder="1" applyAlignment="1">
      <alignment vertical="center" wrapText="1"/>
    </xf>
    <xf numFmtId="0" fontId="0" fillId="3" borderId="35" xfId="0" applyFill="1" applyBorder="1" applyAlignment="1">
      <alignment vertical="center" wrapText="1"/>
    </xf>
    <xf numFmtId="0" fontId="0" fillId="3" borderId="1" xfId="0" applyFill="1" applyBorder="1"/>
    <xf numFmtId="0" fontId="0" fillId="3" borderId="21" xfId="0" applyFill="1" applyBorder="1"/>
    <xf numFmtId="0" fontId="0" fillId="9" borderId="55" xfId="0" applyFill="1" applyBorder="1" applyProtection="1">
      <protection locked="0"/>
    </xf>
    <xf numFmtId="43" fontId="0" fillId="9" borderId="85" xfId="5" applyFont="1" applyFill="1" applyBorder="1" applyProtection="1">
      <protection locked="0"/>
    </xf>
    <xf numFmtId="43" fontId="0" fillId="9" borderId="58" xfId="5" applyFont="1" applyFill="1" applyBorder="1" applyProtection="1">
      <protection locked="0"/>
    </xf>
    <xf numFmtId="0" fontId="0" fillId="9" borderId="2" xfId="0" applyFill="1" applyBorder="1" applyProtection="1">
      <protection locked="0"/>
    </xf>
    <xf numFmtId="43" fontId="0" fillId="9" borderId="1" xfId="5" applyFont="1" applyFill="1" applyBorder="1" applyProtection="1">
      <protection locked="0"/>
    </xf>
    <xf numFmtId="43" fontId="0" fillId="9" borderId="79" xfId="5" applyFont="1" applyFill="1" applyBorder="1" applyProtection="1">
      <protection locked="0"/>
    </xf>
    <xf numFmtId="0" fontId="0" fillId="9" borderId="42" xfId="0" applyFill="1" applyBorder="1" applyProtection="1">
      <protection locked="0"/>
    </xf>
    <xf numFmtId="43" fontId="0" fillId="9" borderId="104" xfId="5" applyFont="1" applyFill="1" applyBorder="1" applyProtection="1">
      <protection locked="0"/>
    </xf>
    <xf numFmtId="43" fontId="0" fillId="9" borderId="59" xfId="5" applyFont="1" applyFill="1" applyBorder="1" applyProtection="1">
      <protection locked="0"/>
    </xf>
    <xf numFmtId="0" fontId="0" fillId="9" borderId="136" xfId="0" applyFill="1" applyBorder="1" applyProtection="1">
      <protection locked="0"/>
    </xf>
    <xf numFmtId="0" fontId="0" fillId="15" borderId="87" xfId="0" applyFill="1" applyBorder="1" applyProtection="1">
      <protection locked="0"/>
    </xf>
    <xf numFmtId="43" fontId="0" fillId="7" borderId="3" xfId="5" applyFont="1" applyFill="1" applyBorder="1" applyProtection="1">
      <protection locked="0"/>
    </xf>
    <xf numFmtId="43" fontId="0" fillId="7" borderId="88" xfId="5" applyFont="1" applyFill="1" applyBorder="1" applyProtection="1">
      <protection locked="0"/>
    </xf>
    <xf numFmtId="0" fontId="0" fillId="15" borderId="2" xfId="0" applyFill="1" applyBorder="1" applyProtection="1">
      <protection locked="0"/>
    </xf>
    <xf numFmtId="43" fontId="0" fillId="7" borderId="1" xfId="5" applyFont="1" applyFill="1" applyBorder="1" applyProtection="1">
      <protection locked="0"/>
    </xf>
    <xf numFmtId="43" fontId="0" fillId="7" borderId="79" xfId="5" applyFont="1" applyFill="1" applyBorder="1" applyProtection="1">
      <protection locked="0"/>
    </xf>
    <xf numFmtId="0" fontId="1" fillId="15" borderId="2" xfId="0" applyFont="1" applyFill="1" applyBorder="1" applyProtection="1">
      <protection locked="0"/>
    </xf>
    <xf numFmtId="0" fontId="0" fillId="15" borderId="42" xfId="0" applyFill="1" applyBorder="1" applyProtection="1">
      <protection locked="0"/>
    </xf>
    <xf numFmtId="43" fontId="0" fillId="7" borderId="104" xfId="5" applyFont="1" applyFill="1" applyBorder="1" applyProtection="1">
      <protection locked="0"/>
    </xf>
    <xf numFmtId="43" fontId="0" fillId="7" borderId="59" xfId="5" applyFont="1" applyFill="1" applyBorder="1" applyProtection="1">
      <protection locked="0"/>
    </xf>
    <xf numFmtId="0" fontId="0" fillId="0" borderId="47" xfId="0" applyBorder="1" applyProtection="1">
      <protection locked="0"/>
    </xf>
    <xf numFmtId="0" fontId="0" fillId="15" borderId="55" xfId="0" applyFill="1" applyBorder="1" applyProtection="1">
      <protection locked="0"/>
    </xf>
    <xf numFmtId="43" fontId="0" fillId="7" borderId="85" xfId="5" applyFont="1" applyFill="1" applyBorder="1" applyProtection="1">
      <protection locked="0"/>
    </xf>
    <xf numFmtId="43" fontId="0" fillId="7" borderId="58" xfId="5" applyFont="1" applyFill="1" applyBorder="1" applyProtection="1">
      <protection locked="0"/>
    </xf>
    <xf numFmtId="43" fontId="0" fillId="0" borderId="26" xfId="5" applyFont="1" applyBorder="1" applyProtection="1">
      <protection locked="0"/>
    </xf>
    <xf numFmtId="0" fontId="0" fillId="0" borderId="95" xfId="0" applyBorder="1" applyProtection="1">
      <protection locked="0"/>
    </xf>
    <xf numFmtId="0" fontId="32" fillId="6" borderId="0" xfId="0" applyFont="1" applyFill="1" applyProtection="1">
      <protection locked="0"/>
    </xf>
    <xf numFmtId="0" fontId="0" fillId="9" borderId="131" xfId="0" applyFill="1" applyBorder="1" applyProtection="1">
      <protection locked="0"/>
    </xf>
    <xf numFmtId="176" fontId="0" fillId="9" borderId="131" xfId="5" applyNumberFormat="1" applyFont="1" applyFill="1" applyBorder="1" applyProtection="1">
      <protection locked="0"/>
    </xf>
    <xf numFmtId="43" fontId="0" fillId="10" borderId="132" xfId="5" applyFont="1" applyFill="1" applyBorder="1" applyProtection="1">
      <protection locked="0"/>
    </xf>
    <xf numFmtId="43" fontId="0" fillId="7" borderId="21" xfId="5" applyFont="1" applyFill="1" applyBorder="1" applyProtection="1">
      <protection locked="0"/>
    </xf>
    <xf numFmtId="43" fontId="1" fillId="3" borderId="14" xfId="0" applyNumberFormat="1" applyFont="1" applyFill="1" applyBorder="1"/>
    <xf numFmtId="43" fontId="0" fillId="3" borderId="88" xfId="5" applyFont="1" applyFill="1" applyBorder="1" applyProtection="1"/>
    <xf numFmtId="43" fontId="0" fillId="3" borderId="79" xfId="5" applyFont="1" applyFill="1" applyBorder="1" applyProtection="1"/>
    <xf numFmtId="43" fontId="0" fillId="3" borderId="35" xfId="5" applyFont="1" applyFill="1" applyBorder="1" applyProtection="1"/>
    <xf numFmtId="43" fontId="1" fillId="3" borderId="14" xfId="0" applyNumberFormat="1" applyFont="1" applyFill="1" applyBorder="1" applyAlignment="1">
      <alignment vertical="center"/>
    </xf>
    <xf numFmtId="0" fontId="0" fillId="0" borderId="0" xfId="0" applyAlignment="1" applyProtection="1">
      <alignment wrapText="1"/>
      <protection locked="0"/>
    </xf>
    <xf numFmtId="0" fontId="2" fillId="6" borderId="9" xfId="0" applyFont="1" applyFill="1" applyBorder="1" applyProtection="1">
      <protection locked="0"/>
    </xf>
    <xf numFmtId="0" fontId="0" fillId="15" borderId="9" xfId="0" applyFill="1" applyBorder="1" applyProtection="1">
      <protection locked="0"/>
    </xf>
    <xf numFmtId="0" fontId="0" fillId="6" borderId="9" xfId="0" applyFill="1" applyBorder="1" applyProtection="1">
      <protection locked="0"/>
    </xf>
    <xf numFmtId="0" fontId="0" fillId="3" borderId="9" xfId="0" applyFill="1" applyBorder="1" applyProtection="1">
      <protection locked="0"/>
    </xf>
    <xf numFmtId="0" fontId="0" fillId="9" borderId="9" xfId="0" applyFill="1" applyBorder="1" applyProtection="1">
      <protection locked="0"/>
    </xf>
    <xf numFmtId="0" fontId="5" fillId="6" borderId="9" xfId="0" applyFont="1" applyFill="1" applyBorder="1" applyProtection="1">
      <protection locked="0"/>
    </xf>
    <xf numFmtId="0" fontId="5" fillId="6" borderId="0" xfId="0" applyFont="1" applyFill="1" applyProtection="1">
      <protection locked="0"/>
    </xf>
    <xf numFmtId="0" fontId="0" fillId="8" borderId="45" xfId="0" applyFill="1" applyBorder="1" applyProtection="1">
      <protection locked="0"/>
    </xf>
    <xf numFmtId="0" fontId="0" fillId="8" borderId="46" xfId="0" applyFill="1" applyBorder="1" applyProtection="1">
      <protection locked="0"/>
    </xf>
    <xf numFmtId="0" fontId="1" fillId="8" borderId="45" xfId="0" applyFont="1" applyFill="1" applyBorder="1" applyAlignment="1" applyProtection="1">
      <alignment vertical="center" wrapText="1"/>
      <protection locked="0"/>
    </xf>
    <xf numFmtId="0" fontId="1" fillId="8" borderId="64" xfId="0" applyFont="1" applyFill="1" applyBorder="1" applyAlignment="1" applyProtection="1">
      <alignment vertical="center" wrapText="1"/>
      <protection locked="0"/>
    </xf>
    <xf numFmtId="0" fontId="0" fillId="8" borderId="64" xfId="0" applyFill="1" applyBorder="1" applyAlignment="1" applyProtection="1">
      <alignment vertical="center" wrapText="1"/>
      <protection locked="0"/>
    </xf>
    <xf numFmtId="0" fontId="0" fillId="8" borderId="46" xfId="0" applyFill="1" applyBorder="1" applyAlignment="1" applyProtection="1">
      <alignment vertical="center" wrapText="1"/>
      <protection locked="0"/>
    </xf>
    <xf numFmtId="0" fontId="0" fillId="8" borderId="45" xfId="0" applyFill="1" applyBorder="1" applyAlignment="1" applyProtection="1">
      <alignment wrapText="1"/>
      <protection locked="0"/>
    </xf>
    <xf numFmtId="0" fontId="0" fillId="8" borderId="64" xfId="0" applyFill="1" applyBorder="1" applyAlignment="1" applyProtection="1">
      <alignment wrapText="1"/>
      <protection locked="0"/>
    </xf>
    <xf numFmtId="0" fontId="0" fillId="8" borderId="46" xfId="0" applyFill="1" applyBorder="1" applyAlignment="1" applyProtection="1">
      <alignment wrapText="1"/>
      <protection locked="0"/>
    </xf>
    <xf numFmtId="0" fontId="0" fillId="0" borderId="0" xfId="0" applyAlignment="1" applyProtection="1">
      <alignment horizontal="right" vertical="center" wrapText="1"/>
      <protection locked="0"/>
    </xf>
    <xf numFmtId="0" fontId="0" fillId="10" borderId="132" xfId="0" applyFill="1" applyBorder="1" applyAlignment="1" applyProtection="1">
      <alignment vertical="center"/>
      <protection locked="0"/>
    </xf>
    <xf numFmtId="0" fontId="0" fillId="0" borderId="3" xfId="0" applyBorder="1" applyAlignment="1" applyProtection="1">
      <alignment vertical="center"/>
      <protection locked="0"/>
    </xf>
    <xf numFmtId="0" fontId="0" fillId="15" borderId="3" xfId="0" applyFill="1" applyBorder="1" applyAlignment="1" applyProtection="1">
      <alignment vertical="center"/>
      <protection locked="0"/>
    </xf>
    <xf numFmtId="165" fontId="0" fillId="0" borderId="0" xfId="0" applyNumberFormat="1" applyProtection="1">
      <protection locked="0"/>
    </xf>
    <xf numFmtId="0" fontId="0" fillId="0" borderId="1" xfId="0" applyBorder="1" applyAlignment="1" applyProtection="1">
      <alignment vertical="center"/>
      <protection locked="0"/>
    </xf>
    <xf numFmtId="0" fontId="0" fillId="15" borderId="1" xfId="0" applyFill="1" applyBorder="1" applyAlignment="1" applyProtection="1">
      <alignment vertical="center"/>
      <protection locked="0"/>
    </xf>
    <xf numFmtId="0" fontId="0" fillId="0" borderId="21" xfId="0" applyBorder="1" applyAlignment="1" applyProtection="1">
      <alignment vertical="center"/>
      <protection locked="0"/>
    </xf>
    <xf numFmtId="0" fontId="0" fillId="15" borderId="21" xfId="0" applyFill="1" applyBorder="1" applyAlignment="1" applyProtection="1">
      <alignment vertical="center"/>
      <protection locked="0"/>
    </xf>
    <xf numFmtId="0" fontId="0" fillId="3" borderId="41" xfId="0" applyFill="1" applyBorder="1" applyProtection="1">
      <protection locked="0"/>
    </xf>
    <xf numFmtId="0" fontId="1" fillId="3" borderId="22" xfId="0" applyFont="1" applyFill="1" applyBorder="1" applyProtection="1">
      <protection locked="0"/>
    </xf>
    <xf numFmtId="0" fontId="1" fillId="3" borderId="41" xfId="0" applyFont="1" applyFill="1" applyBorder="1" applyProtection="1">
      <protection locked="0"/>
    </xf>
    <xf numFmtId="0" fontId="1" fillId="3" borderId="66" xfId="0" applyFont="1" applyFill="1" applyBorder="1" applyProtection="1">
      <protection locked="0"/>
    </xf>
    <xf numFmtId="0" fontId="2" fillId="0" borderId="48" xfId="0" applyFont="1" applyBorder="1" applyProtection="1">
      <protection locked="0"/>
    </xf>
    <xf numFmtId="0" fontId="0" fillId="0" borderId="110" xfId="0" applyBorder="1" applyProtection="1">
      <protection locked="0"/>
    </xf>
    <xf numFmtId="0" fontId="0" fillId="0" borderId="92" xfId="0" applyBorder="1" applyProtection="1">
      <protection locked="0"/>
    </xf>
    <xf numFmtId="0" fontId="0" fillId="0" borderId="115" xfId="0" applyBorder="1" applyProtection="1">
      <protection locked="0"/>
    </xf>
    <xf numFmtId="0" fontId="0" fillId="0" borderId="91" xfId="0" applyBorder="1" applyProtection="1">
      <protection locked="0"/>
    </xf>
    <xf numFmtId="0" fontId="0" fillId="8" borderId="86" xfId="0" applyFill="1" applyBorder="1" applyAlignment="1" applyProtection="1">
      <alignment horizontal="center" vertical="center" wrapText="1"/>
      <protection locked="0"/>
    </xf>
    <xf numFmtId="0" fontId="0" fillId="8" borderId="92" xfId="0" applyFill="1" applyBorder="1" applyAlignment="1" applyProtection="1">
      <alignment horizontal="center" vertical="center" wrapText="1"/>
      <protection locked="0"/>
    </xf>
    <xf numFmtId="0" fontId="1" fillId="0" borderId="172" xfId="0" applyFont="1" applyBorder="1" applyAlignment="1" applyProtection="1">
      <alignment horizontal="left"/>
      <protection locked="0"/>
    </xf>
    <xf numFmtId="0" fontId="0" fillId="0" borderId="28" xfId="0" applyBorder="1" applyProtection="1">
      <protection locked="0"/>
    </xf>
    <xf numFmtId="0" fontId="0" fillId="0" borderId="1" xfId="0" applyBorder="1" applyProtection="1">
      <protection locked="0"/>
    </xf>
    <xf numFmtId="0" fontId="0" fillId="0" borderId="3" xfId="0" applyBorder="1" applyProtection="1">
      <protection locked="0"/>
    </xf>
    <xf numFmtId="0" fontId="0" fillId="0" borderId="88" xfId="0" applyBorder="1" applyProtection="1">
      <protection locked="0"/>
    </xf>
    <xf numFmtId="0" fontId="0" fillId="0" borderId="79" xfId="0" applyBorder="1" applyProtection="1">
      <protection locked="0"/>
    </xf>
    <xf numFmtId="0" fontId="0" fillId="0" borderId="28" xfId="0" applyBorder="1" applyAlignment="1" applyProtection="1">
      <alignment horizontal="right"/>
      <protection locked="0"/>
    </xf>
    <xf numFmtId="0" fontId="0" fillId="0" borderId="1" xfId="0" applyBorder="1" applyAlignment="1" applyProtection="1">
      <alignment horizontal="right"/>
      <protection locked="0"/>
    </xf>
    <xf numFmtId="0" fontId="0" fillId="0" borderId="79" xfId="0" applyBorder="1" applyAlignment="1" applyProtection="1">
      <alignment horizontal="right"/>
      <protection locked="0"/>
    </xf>
    <xf numFmtId="0" fontId="1" fillId="0" borderId="166" xfId="0" applyFont="1" applyBorder="1" applyAlignment="1" applyProtection="1">
      <alignment horizontal="left"/>
      <protection locked="0"/>
    </xf>
    <xf numFmtId="0" fontId="0" fillId="0" borderId="147" xfId="0" applyBorder="1" applyProtection="1">
      <protection locked="0"/>
    </xf>
    <xf numFmtId="0" fontId="0" fillId="0" borderId="82" xfId="0" applyBorder="1" applyProtection="1">
      <protection locked="0"/>
    </xf>
    <xf numFmtId="0" fontId="0" fillId="0" borderId="21" xfId="0" applyBorder="1" applyProtection="1">
      <protection locked="0"/>
    </xf>
    <xf numFmtId="0" fontId="0" fillId="0" borderId="35" xfId="0" applyBorder="1" applyProtection="1">
      <protection locked="0"/>
    </xf>
    <xf numFmtId="0" fontId="0" fillId="0" borderId="116" xfId="0" applyBorder="1" applyProtection="1">
      <protection locked="0"/>
    </xf>
    <xf numFmtId="0" fontId="0" fillId="0" borderId="22" xfId="0" applyBorder="1" applyProtection="1">
      <protection locked="0"/>
    </xf>
    <xf numFmtId="0" fontId="0" fillId="3" borderId="88" xfId="0" applyFill="1" applyBorder="1" applyAlignment="1">
      <alignment vertical="center"/>
    </xf>
    <xf numFmtId="0" fontId="0" fillId="3" borderId="79" xfId="0" applyFill="1" applyBorder="1" applyAlignment="1">
      <alignment vertical="center"/>
    </xf>
    <xf numFmtId="0" fontId="0" fillId="3" borderId="35" xfId="0" applyFill="1" applyBorder="1" applyAlignment="1">
      <alignment vertical="center"/>
    </xf>
    <xf numFmtId="0" fontId="1" fillId="3" borderId="22" xfId="0" applyFont="1" applyFill="1" applyBorder="1"/>
    <xf numFmtId="0" fontId="1" fillId="3" borderId="41" xfId="0" applyFont="1" applyFill="1" applyBorder="1"/>
    <xf numFmtId="0" fontId="1" fillId="3" borderId="66" xfId="0" applyFont="1" applyFill="1" applyBorder="1"/>
    <xf numFmtId="0" fontId="0" fillId="7" borderId="9" xfId="0" applyFill="1" applyBorder="1" applyProtection="1">
      <protection locked="0"/>
    </xf>
    <xf numFmtId="0" fontId="1" fillId="8" borderId="53" xfId="0" applyFont="1" applyFill="1" applyBorder="1" applyAlignment="1" applyProtection="1">
      <alignment vertical="center" wrapText="1"/>
      <protection locked="0"/>
    </xf>
    <xf numFmtId="0" fontId="0" fillId="8" borderId="53" xfId="0" applyFill="1" applyBorder="1" applyAlignment="1" applyProtection="1">
      <alignment horizontal="center" vertical="center" wrapText="1"/>
      <protection locked="0"/>
    </xf>
    <xf numFmtId="0" fontId="0" fillId="8" borderId="54" xfId="0" applyFill="1" applyBorder="1" applyAlignment="1" applyProtection="1">
      <alignment horizontal="center" vertical="center" wrapText="1"/>
      <protection locked="0"/>
    </xf>
    <xf numFmtId="0" fontId="1" fillId="8" borderId="46" xfId="0" applyFont="1" applyFill="1" applyBorder="1" applyAlignment="1" applyProtection="1">
      <alignment horizontal="center" wrapText="1"/>
      <protection locked="0"/>
    </xf>
    <xf numFmtId="0" fontId="0" fillId="9" borderId="152" xfId="0" applyFill="1" applyBorder="1" applyProtection="1">
      <protection locked="0"/>
    </xf>
    <xf numFmtId="0" fontId="0" fillId="9" borderId="165" xfId="0" applyFill="1" applyBorder="1" applyAlignment="1" applyProtection="1">
      <alignment wrapText="1"/>
      <protection locked="0"/>
    </xf>
    <xf numFmtId="0" fontId="0" fillId="9" borderId="165" xfId="0" applyFill="1" applyBorder="1" applyProtection="1">
      <protection locked="0"/>
    </xf>
    <xf numFmtId="0" fontId="0" fillId="9" borderId="132" xfId="0" applyFill="1" applyBorder="1" applyProtection="1">
      <protection locked="0"/>
    </xf>
    <xf numFmtId="2" fontId="0" fillId="10" borderId="152" xfId="0" applyNumberFormat="1" applyFill="1" applyBorder="1" applyProtection="1">
      <protection locked="0"/>
    </xf>
    <xf numFmtId="0" fontId="0" fillId="15" borderId="3" xfId="0" applyFill="1" applyBorder="1" applyProtection="1">
      <protection locked="0"/>
    </xf>
    <xf numFmtId="0" fontId="0" fillId="15" borderId="1" xfId="0" applyFill="1" applyBorder="1" applyProtection="1">
      <protection locked="0"/>
    </xf>
    <xf numFmtId="0" fontId="1" fillId="0" borderId="1" xfId="0" applyFont="1" applyBorder="1" applyProtection="1">
      <protection locked="0"/>
    </xf>
    <xf numFmtId="0" fontId="0" fillId="15" borderId="21" xfId="0" applyFill="1" applyBorder="1" applyProtection="1">
      <protection locked="0"/>
    </xf>
    <xf numFmtId="0" fontId="0" fillId="3" borderId="45" xfId="0" applyFill="1" applyBorder="1" applyProtection="1">
      <protection locked="0"/>
    </xf>
    <xf numFmtId="0" fontId="0" fillId="3" borderId="46" xfId="0" applyFill="1" applyBorder="1" applyProtection="1">
      <protection locked="0"/>
    </xf>
    <xf numFmtId="0" fontId="0" fillId="3" borderId="53" xfId="0" applyFill="1" applyBorder="1" applyProtection="1">
      <protection locked="0"/>
    </xf>
    <xf numFmtId="0" fontId="6" fillId="3" borderId="53" xfId="0" applyFont="1" applyFill="1" applyBorder="1" applyProtection="1">
      <protection locked="0"/>
    </xf>
    <xf numFmtId="0" fontId="6" fillId="3" borderId="54" xfId="0" applyFont="1" applyFill="1" applyBorder="1" applyProtection="1">
      <protection locked="0"/>
    </xf>
    <xf numFmtId="0" fontId="1" fillId="3" borderId="53" xfId="0" applyFont="1" applyFill="1" applyBorder="1" applyProtection="1">
      <protection locked="0"/>
    </xf>
    <xf numFmtId="0" fontId="1" fillId="0" borderId="62" xfId="0" applyFont="1" applyBorder="1" applyProtection="1">
      <protection locked="0"/>
    </xf>
    <xf numFmtId="0" fontId="1" fillId="0" borderId="12" xfId="0" applyFont="1" applyBorder="1" applyProtection="1">
      <protection locked="0"/>
    </xf>
    <xf numFmtId="0" fontId="0" fillId="8" borderId="114" xfId="0" applyFill="1" applyBorder="1" applyAlignment="1" applyProtection="1">
      <alignment horizontal="center" vertical="center" wrapText="1"/>
      <protection locked="0"/>
    </xf>
    <xf numFmtId="0" fontId="0" fillId="0" borderId="21" xfId="0" applyBorder="1" applyAlignment="1" applyProtection="1">
      <alignment horizontal="right"/>
      <protection locked="0"/>
    </xf>
    <xf numFmtId="0" fontId="1" fillId="0" borderId="9" xfId="0" applyFont="1" applyBorder="1" applyProtection="1">
      <protection locked="0"/>
    </xf>
    <xf numFmtId="0" fontId="0" fillId="0" borderId="25" xfId="0" applyBorder="1" applyProtection="1">
      <protection locked="0"/>
    </xf>
    <xf numFmtId="0" fontId="1" fillId="3" borderId="46" xfId="0" applyFont="1" applyFill="1" applyBorder="1"/>
    <xf numFmtId="2" fontId="1" fillId="3" borderId="164" xfId="0" applyNumberFormat="1" applyFont="1" applyFill="1" applyBorder="1"/>
    <xf numFmtId="2" fontId="1" fillId="3" borderId="60" xfId="0" applyNumberFormat="1" applyFont="1" applyFill="1" applyBorder="1"/>
    <xf numFmtId="2" fontId="1" fillId="3" borderId="61" xfId="0" applyNumberFormat="1" applyFont="1" applyFill="1" applyBorder="1"/>
    <xf numFmtId="0" fontId="1" fillId="3" borderId="53" xfId="0" applyFont="1" applyFill="1" applyBorder="1"/>
    <xf numFmtId="0" fontId="1" fillId="0" borderId="9" xfId="64" applyBorder="1" applyProtection="1">
      <protection locked="0"/>
    </xf>
    <xf numFmtId="0" fontId="2" fillId="0" borderId="9" xfId="64" applyFont="1" applyBorder="1" applyProtection="1">
      <protection locked="0"/>
    </xf>
    <xf numFmtId="0" fontId="1" fillId="15" borderId="9" xfId="64" applyFill="1" applyBorder="1" applyProtection="1">
      <protection locked="0"/>
    </xf>
    <xf numFmtId="0" fontId="1" fillId="6" borderId="9" xfId="64" applyFill="1" applyBorder="1" applyProtection="1">
      <protection locked="0"/>
    </xf>
    <xf numFmtId="0" fontId="1" fillId="3" borderId="9" xfId="64" applyFill="1" applyBorder="1" applyProtection="1">
      <protection locked="0"/>
    </xf>
    <xf numFmtId="0" fontId="1" fillId="0" borderId="12" xfId="64" applyBorder="1" applyProtection="1">
      <protection locked="0"/>
    </xf>
    <xf numFmtId="0" fontId="1" fillId="8" borderId="45" xfId="64" applyFill="1" applyBorder="1" applyAlignment="1" applyProtection="1">
      <alignment horizontal="center" vertical="center" wrapText="1"/>
      <protection locked="0"/>
    </xf>
    <xf numFmtId="0" fontId="1" fillId="8" borderId="64" xfId="64" applyFill="1" applyBorder="1" applyAlignment="1" applyProtection="1">
      <alignment horizontal="center" vertical="center" wrapText="1"/>
      <protection locked="0"/>
    </xf>
    <xf numFmtId="0" fontId="1" fillId="8" borderId="46" xfId="64" applyFill="1" applyBorder="1" applyAlignment="1" applyProtection="1">
      <alignment horizontal="center" vertical="center" wrapText="1"/>
      <protection locked="0"/>
    </xf>
    <xf numFmtId="0" fontId="1" fillId="9" borderId="114" xfId="64" applyFill="1" applyBorder="1" applyProtection="1">
      <protection locked="0"/>
    </xf>
    <xf numFmtId="0" fontId="1" fillId="9" borderId="86" xfId="64" applyFill="1" applyBorder="1" applyProtection="1">
      <protection locked="0"/>
    </xf>
    <xf numFmtId="0" fontId="1" fillId="10" borderId="152" xfId="64" applyFill="1" applyBorder="1" applyProtection="1">
      <protection locked="0"/>
    </xf>
    <xf numFmtId="0" fontId="1" fillId="15" borderId="55" xfId="64" applyFill="1" applyBorder="1" applyProtection="1">
      <protection locked="0"/>
    </xf>
    <xf numFmtId="0" fontId="1" fillId="15" borderId="85" xfId="64" applyFill="1" applyBorder="1" applyProtection="1">
      <protection locked="0"/>
    </xf>
    <xf numFmtId="0" fontId="1" fillId="15" borderId="58" xfId="64" applyFill="1" applyBorder="1" applyProtection="1">
      <protection locked="0"/>
    </xf>
    <xf numFmtId="0" fontId="1" fillId="15" borderId="2" xfId="64" applyFill="1" applyBorder="1" applyProtection="1">
      <protection locked="0"/>
    </xf>
    <xf numFmtId="0" fontId="1" fillId="15" borderId="1" xfId="64" applyFill="1" applyBorder="1" applyProtection="1">
      <protection locked="0"/>
    </xf>
    <xf numFmtId="0" fontId="1" fillId="15" borderId="79" xfId="64" applyFill="1" applyBorder="1" applyProtection="1">
      <protection locked="0"/>
    </xf>
    <xf numFmtId="0" fontId="1" fillId="15" borderId="18" xfId="64" applyFill="1" applyBorder="1" applyProtection="1">
      <protection locked="0"/>
    </xf>
    <xf numFmtId="0" fontId="1" fillId="15" borderId="21" xfId="64" applyFill="1" applyBorder="1" applyProtection="1">
      <protection locked="0"/>
    </xf>
    <xf numFmtId="0" fontId="1" fillId="15" borderId="35" xfId="64" applyFill="1" applyBorder="1" applyProtection="1">
      <protection locked="0"/>
    </xf>
    <xf numFmtId="0" fontId="1" fillId="3" borderId="15" xfId="64" applyFill="1" applyBorder="1"/>
    <xf numFmtId="0" fontId="1" fillId="3" borderId="30" xfId="64" applyFill="1" applyBorder="1"/>
    <xf numFmtId="0" fontId="0" fillId="0" borderId="9" xfId="0" applyBorder="1" applyAlignment="1" applyProtection="1">
      <alignment vertical="center"/>
      <protection locked="0"/>
    </xf>
    <xf numFmtId="0" fontId="0" fillId="0" borderId="12" xfId="0" applyBorder="1" applyAlignment="1" applyProtection="1">
      <alignment vertical="center"/>
      <protection locked="0"/>
    </xf>
    <xf numFmtId="0" fontId="1" fillId="0" borderId="32" xfId="0" applyFont="1" applyBorder="1" applyAlignment="1" applyProtection="1">
      <alignment horizontal="right" vertical="center" wrapText="1"/>
      <protection locked="0"/>
    </xf>
    <xf numFmtId="0" fontId="59" fillId="21" borderId="211" xfId="0" applyFont="1" applyFill="1" applyBorder="1" applyAlignment="1" applyProtection="1">
      <alignment vertical="center"/>
      <protection locked="0"/>
    </xf>
    <xf numFmtId="0" fontId="1" fillId="0" borderId="32" xfId="0" applyFont="1" applyBorder="1" applyAlignment="1" applyProtection="1">
      <alignment horizontal="right" vertical="center" indent="1"/>
      <protection locked="0"/>
    </xf>
    <xf numFmtId="0" fontId="0" fillId="0" borderId="0" xfId="0" applyAlignment="1" applyProtection="1">
      <alignment horizontal="right"/>
      <protection locked="0"/>
    </xf>
    <xf numFmtId="0" fontId="1" fillId="8" borderId="96" xfId="0" applyFont="1" applyFill="1" applyBorder="1" applyAlignment="1" applyProtection="1">
      <alignment horizontal="center" vertical="center" wrapText="1"/>
      <protection locked="0"/>
    </xf>
    <xf numFmtId="0" fontId="1" fillId="8" borderId="71" xfId="0" applyFont="1" applyFill="1" applyBorder="1" applyAlignment="1" applyProtection="1">
      <alignment horizontal="center" vertical="center" wrapText="1"/>
      <protection locked="0"/>
    </xf>
    <xf numFmtId="0" fontId="1" fillId="8" borderId="97" xfId="0" applyFont="1" applyFill="1" applyBorder="1" applyAlignment="1" applyProtection="1">
      <alignment horizontal="center" vertical="center"/>
      <protection locked="0"/>
    </xf>
    <xf numFmtId="0" fontId="1" fillId="8" borderId="187" xfId="0" applyFont="1" applyFill="1" applyBorder="1" applyAlignment="1" applyProtection="1">
      <alignment horizontal="center" vertical="center" wrapText="1"/>
      <protection locked="0"/>
    </xf>
    <xf numFmtId="0" fontId="1" fillId="8" borderId="91" xfId="0" applyFont="1" applyFill="1" applyBorder="1" applyAlignment="1" applyProtection="1">
      <alignment horizontal="center" vertical="center" wrapText="1"/>
      <protection locked="0"/>
    </xf>
    <xf numFmtId="0" fontId="0" fillId="0" borderId="43" xfId="0" applyBorder="1"/>
    <xf numFmtId="43" fontId="0" fillId="19" borderId="48" xfId="5" applyFont="1" applyFill="1" applyBorder="1" applyProtection="1"/>
    <xf numFmtId="43" fontId="0" fillId="19" borderId="108" xfId="5" applyFont="1" applyFill="1" applyBorder="1" applyProtection="1"/>
    <xf numFmtId="43" fontId="0" fillId="19" borderId="24" xfId="5" applyFont="1" applyFill="1" applyBorder="1" applyProtection="1"/>
    <xf numFmtId="43" fontId="1" fillId="3" borderId="10" xfId="5" applyFont="1" applyFill="1" applyBorder="1" applyAlignment="1" applyProtection="1">
      <alignment horizontal="right"/>
    </xf>
    <xf numFmtId="43" fontId="0" fillId="19" borderId="67" xfId="5" applyFont="1" applyFill="1" applyBorder="1" applyProtection="1"/>
    <xf numFmtId="168" fontId="0" fillId="19" borderId="188" xfId="5" applyNumberFormat="1" applyFont="1" applyFill="1" applyBorder="1" applyProtection="1"/>
    <xf numFmtId="168" fontId="0" fillId="19" borderId="192" xfId="5" applyNumberFormat="1" applyFont="1" applyFill="1" applyBorder="1" applyProtection="1"/>
    <xf numFmtId="43" fontId="0" fillId="19" borderId="49" xfId="5" applyFont="1" applyFill="1" applyBorder="1" applyProtection="1"/>
    <xf numFmtId="43" fontId="0" fillId="3" borderId="10" xfId="5" applyFont="1" applyFill="1" applyBorder="1" applyAlignment="1" applyProtection="1">
      <alignment horizontal="right"/>
    </xf>
    <xf numFmtId="43" fontId="0" fillId="19" borderId="9" xfId="5" applyFont="1" applyFill="1" applyBorder="1" applyAlignment="1" applyProtection="1">
      <alignment horizontal="right"/>
    </xf>
    <xf numFmtId="43" fontId="0" fillId="3" borderId="13" xfId="5" applyFont="1" applyFill="1" applyBorder="1" applyAlignment="1" applyProtection="1">
      <alignment horizontal="right"/>
    </xf>
    <xf numFmtId="168" fontId="0" fillId="19" borderId="189" xfId="5" applyNumberFormat="1" applyFont="1" applyFill="1" applyBorder="1" applyProtection="1"/>
    <xf numFmtId="43" fontId="0" fillId="3" borderId="189" xfId="5" applyFont="1" applyFill="1" applyBorder="1" applyAlignment="1" applyProtection="1">
      <alignment horizontal="right"/>
    </xf>
    <xf numFmtId="43" fontId="1" fillId="3" borderId="13" xfId="5" applyFont="1" applyFill="1" applyBorder="1" applyAlignment="1" applyProtection="1">
      <alignment horizontal="right"/>
    </xf>
    <xf numFmtId="43" fontId="1" fillId="3" borderId="189" xfId="5" applyFont="1" applyFill="1" applyBorder="1" applyAlignment="1" applyProtection="1">
      <alignment horizontal="right"/>
    </xf>
    <xf numFmtId="43" fontId="1" fillId="3" borderId="9" xfId="5" applyFont="1" applyFill="1" applyBorder="1" applyAlignment="1" applyProtection="1">
      <alignment horizontal="right"/>
    </xf>
    <xf numFmtId="0" fontId="1" fillId="0" borderId="47" xfId="0" applyFont="1" applyBorder="1"/>
    <xf numFmtId="43" fontId="0" fillId="19" borderId="50" xfId="5" applyFont="1" applyFill="1" applyBorder="1" applyProtection="1"/>
    <xf numFmtId="43" fontId="0" fillId="3" borderId="52" xfId="5" applyFont="1" applyFill="1" applyBorder="1" applyAlignment="1" applyProtection="1">
      <alignment horizontal="right"/>
    </xf>
    <xf numFmtId="43" fontId="0" fillId="3" borderId="25" xfId="5" applyFont="1" applyFill="1" applyBorder="1" applyAlignment="1" applyProtection="1">
      <alignment horizontal="right"/>
    </xf>
    <xf numFmtId="43" fontId="0" fillId="3" borderId="33" xfId="5" applyFont="1" applyFill="1" applyBorder="1" applyAlignment="1" applyProtection="1">
      <alignment horizontal="right"/>
    </xf>
    <xf numFmtId="168" fontId="0" fillId="19" borderId="190" xfId="5" applyNumberFormat="1" applyFont="1" applyFill="1" applyBorder="1" applyProtection="1"/>
    <xf numFmtId="43" fontId="0" fillId="3" borderId="190" xfId="5" applyFont="1" applyFill="1" applyBorder="1" applyAlignment="1" applyProtection="1">
      <alignment horizontal="right"/>
    </xf>
    <xf numFmtId="43" fontId="0" fillId="19" borderId="191" xfId="5" applyFont="1" applyFill="1" applyBorder="1" applyProtection="1"/>
    <xf numFmtId="0" fontId="60" fillId="0" borderId="0" xfId="65" applyFont="1" applyAlignment="1">
      <alignment vertical="center"/>
    </xf>
    <xf numFmtId="0" fontId="2" fillId="0" borderId="0" xfId="0" applyFont="1" applyAlignment="1">
      <alignment horizontal="center"/>
    </xf>
    <xf numFmtId="0" fontId="4" fillId="6" borderId="0" xfId="0" applyFont="1" applyFill="1" applyProtection="1">
      <protection locked="0"/>
    </xf>
    <xf numFmtId="2" fontId="4" fillId="6" borderId="0" xfId="0" applyNumberFormat="1" applyFont="1" applyFill="1" applyProtection="1">
      <protection locked="0"/>
    </xf>
    <xf numFmtId="0" fontId="2" fillId="6" borderId="0" xfId="0" applyFont="1" applyFill="1" applyProtection="1">
      <protection locked="0"/>
    </xf>
    <xf numFmtId="0" fontId="4" fillId="6" borderId="0" xfId="0" applyFont="1" applyFill="1" applyAlignment="1" applyProtection="1">
      <alignment vertical="center"/>
      <protection locked="0"/>
    </xf>
    <xf numFmtId="2" fontId="4" fillId="6" borderId="0" xfId="0" applyNumberFormat="1" applyFont="1" applyFill="1" applyAlignment="1" applyProtection="1">
      <alignment vertical="center"/>
      <protection locked="0"/>
    </xf>
    <xf numFmtId="0" fontId="2" fillId="6" borderId="0" xfId="0" applyFont="1" applyFill="1" applyAlignment="1" applyProtection="1">
      <alignment horizontal="right" vertical="center"/>
      <protection locked="0"/>
    </xf>
    <xf numFmtId="0" fontId="2" fillId="6" borderId="0" xfId="0" applyFont="1" applyFill="1" applyAlignment="1" applyProtection="1">
      <alignment vertical="center"/>
      <protection locked="0"/>
    </xf>
    <xf numFmtId="0" fontId="2" fillId="6" borderId="0" xfId="0" applyFont="1" applyFill="1" applyAlignment="1">
      <alignment vertical="center"/>
    </xf>
    <xf numFmtId="0" fontId="5" fillId="0" borderId="0" xfId="0" applyFont="1"/>
    <xf numFmtId="0" fontId="5" fillId="0" borderId="0" xfId="0" applyFont="1" applyAlignment="1">
      <alignment horizontal="center"/>
    </xf>
    <xf numFmtId="2" fontId="5" fillId="8" borderId="46" xfId="0" applyNumberFormat="1" applyFont="1" applyFill="1" applyBorder="1" applyAlignment="1">
      <alignment horizontal="centerContinuous"/>
    </xf>
    <xf numFmtId="2" fontId="5" fillId="8" borderId="46" xfId="0" applyNumberFormat="1" applyFont="1" applyFill="1" applyBorder="1" applyAlignment="1">
      <alignment horizontal="center"/>
    </xf>
    <xf numFmtId="0" fontId="1" fillId="6" borderId="9" xfId="0" applyFont="1" applyFill="1" applyBorder="1" applyProtection="1">
      <protection locked="0"/>
    </xf>
    <xf numFmtId="0" fontId="2" fillId="0" borderId="9" xfId="0" applyFont="1" applyBorder="1" applyProtection="1">
      <protection locked="0"/>
    </xf>
    <xf numFmtId="0" fontId="0" fillId="8" borderId="109" xfId="0" applyFill="1" applyBorder="1" applyAlignment="1">
      <alignment vertical="center"/>
    </xf>
    <xf numFmtId="0" fontId="0" fillId="8" borderId="110" xfId="0" applyFill="1" applyBorder="1" applyAlignment="1">
      <alignment vertical="center"/>
    </xf>
    <xf numFmtId="4" fontId="5" fillId="8" borderId="111" xfId="0" applyNumberFormat="1" applyFont="1" applyFill="1" applyBorder="1" applyAlignment="1">
      <alignment horizontal="center" vertical="center"/>
    </xf>
    <xf numFmtId="4" fontId="5" fillId="8" borderId="95" xfId="0" applyNumberFormat="1" applyFont="1" applyFill="1" applyBorder="1" applyAlignment="1">
      <alignment horizontal="center" vertical="center"/>
    </xf>
    <xf numFmtId="4" fontId="5" fillId="8" borderId="112" xfId="0" applyNumberFormat="1" applyFont="1" applyFill="1" applyBorder="1" applyAlignment="1">
      <alignment horizontal="center" vertical="center"/>
    </xf>
    <xf numFmtId="4" fontId="5" fillId="8" borderId="113" xfId="0" applyNumberFormat="1" applyFont="1" applyFill="1" applyBorder="1" applyAlignment="1">
      <alignment horizontal="center" vertical="center"/>
    </xf>
    <xf numFmtId="4" fontId="5" fillId="8" borderId="56" xfId="0" applyNumberFormat="1" applyFont="1" applyFill="1" applyBorder="1" applyAlignment="1">
      <alignment horizontal="center" vertical="center"/>
    </xf>
    <xf numFmtId="4" fontId="5" fillId="8" borderId="89" xfId="0" applyNumberFormat="1" applyFont="1" applyFill="1" applyBorder="1" applyAlignment="1">
      <alignment horizontal="center" vertical="center"/>
    </xf>
    <xf numFmtId="4" fontId="5" fillId="8" borderId="46" xfId="0" applyNumberFormat="1" applyFont="1" applyFill="1" applyBorder="1" applyAlignment="1">
      <alignment horizontal="center" vertical="center"/>
    </xf>
    <xf numFmtId="4" fontId="5" fillId="8" borderId="53" xfId="0" applyNumberFormat="1" applyFont="1" applyFill="1" applyBorder="1" applyAlignment="1">
      <alignment horizontal="center" vertical="center"/>
    </xf>
    <xf numFmtId="0" fontId="1" fillId="0" borderId="32" xfId="0" applyFont="1" applyBorder="1" applyAlignment="1">
      <alignment horizontal="left" vertical="center" wrapText="1"/>
    </xf>
    <xf numFmtId="0" fontId="1" fillId="0" borderId="0" xfId="0" applyFont="1" applyAlignment="1">
      <alignment horizontal="left" vertical="center" wrapText="1"/>
    </xf>
    <xf numFmtId="0" fontId="2" fillId="8" borderId="109" xfId="0" applyFont="1" applyFill="1" applyBorder="1" applyAlignment="1">
      <alignment horizontal="center" vertical="center"/>
    </xf>
    <xf numFmtId="0" fontId="0" fillId="8" borderId="92" xfId="0" applyFill="1" applyBorder="1" applyAlignment="1">
      <alignment horizontal="center" vertical="center"/>
    </xf>
    <xf numFmtId="0" fontId="0" fillId="8" borderId="115" xfId="0" applyFill="1" applyBorder="1" applyAlignment="1">
      <alignment horizontal="center" vertical="center"/>
    </xf>
    <xf numFmtId="0" fontId="0" fillId="8" borderId="91" xfId="0" applyFill="1" applyBorder="1" applyAlignment="1">
      <alignment horizontal="center" vertical="center"/>
    </xf>
    <xf numFmtId="0" fontId="0" fillId="8" borderId="116" xfId="0" applyFill="1" applyBorder="1" applyAlignment="1">
      <alignment horizontal="center" vertical="center"/>
    </xf>
    <xf numFmtId="0" fontId="29" fillId="8" borderId="118" xfId="0" applyFont="1" applyFill="1" applyBorder="1" applyAlignment="1">
      <alignment horizontal="center" vertical="center" wrapText="1"/>
    </xf>
    <xf numFmtId="0" fontId="29" fillId="8" borderId="56" xfId="0" applyFont="1" applyFill="1" applyBorder="1" applyAlignment="1">
      <alignment horizontal="center" vertical="center" wrapText="1"/>
    </xf>
    <xf numFmtId="0" fontId="29" fillId="8" borderId="51" xfId="0" applyFont="1" applyFill="1" applyBorder="1" applyAlignment="1">
      <alignment horizontal="center" vertical="center" wrapText="1"/>
    </xf>
    <xf numFmtId="0" fontId="29" fillId="8" borderId="44" xfId="0" applyFont="1" applyFill="1" applyBorder="1" applyAlignment="1">
      <alignment horizontal="center" vertical="center" wrapText="1"/>
    </xf>
    <xf numFmtId="0" fontId="29" fillId="8" borderId="173" xfId="0" applyFont="1" applyFill="1" applyBorder="1" applyAlignment="1">
      <alignment horizontal="center" vertical="center" wrapText="1"/>
    </xf>
    <xf numFmtId="0" fontId="29" fillId="8" borderId="117" xfId="0" applyFont="1" applyFill="1" applyBorder="1" applyAlignment="1">
      <alignment horizontal="center" vertical="top" wrapText="1"/>
    </xf>
    <xf numFmtId="0" fontId="29" fillId="8" borderId="72" xfId="0" applyFont="1" applyFill="1" applyBorder="1" applyAlignment="1">
      <alignment horizontal="center" vertical="top" wrapText="1"/>
    </xf>
    <xf numFmtId="0" fontId="29" fillId="8" borderId="73" xfId="0" applyFont="1" applyFill="1" applyBorder="1" applyAlignment="1">
      <alignment horizontal="center" vertical="top" wrapText="1"/>
    </xf>
    <xf numFmtId="0" fontId="29" fillId="8" borderId="16" xfId="0" applyFont="1" applyFill="1" applyBorder="1" applyAlignment="1">
      <alignment horizontal="center" vertical="center" wrapText="1"/>
    </xf>
    <xf numFmtId="0" fontId="29" fillId="8" borderId="120" xfId="0" applyFont="1" applyFill="1" applyBorder="1" applyAlignment="1">
      <alignment horizontal="center" vertical="center" wrapText="1"/>
    </xf>
    <xf numFmtId="0" fontId="29" fillId="8" borderId="114" xfId="0" applyFont="1" applyFill="1" applyBorder="1" applyAlignment="1">
      <alignment horizontal="center" vertical="center" wrapText="1"/>
    </xf>
    <xf numFmtId="0" fontId="29" fillId="8" borderId="93" xfId="0" applyFont="1" applyFill="1" applyBorder="1" applyAlignment="1">
      <alignment horizontal="center" vertical="center" wrapText="1"/>
    </xf>
    <xf numFmtId="0" fontId="29" fillId="8" borderId="89" xfId="0" applyFont="1" applyFill="1" applyBorder="1" applyAlignment="1">
      <alignment horizontal="center" vertical="center" wrapText="1"/>
    </xf>
    <xf numFmtId="0" fontId="29" fillId="8" borderId="95" xfId="0" applyFont="1" applyFill="1" applyBorder="1" applyAlignment="1">
      <alignment horizontal="center" vertical="center" wrapText="1"/>
    </xf>
    <xf numFmtId="0" fontId="29" fillId="8" borderId="46" xfId="0" applyFont="1" applyFill="1" applyBorder="1" applyAlignment="1">
      <alignment horizontal="center" vertical="center" wrapText="1"/>
    </xf>
    <xf numFmtId="0" fontId="5" fillId="8" borderId="16" xfId="0" applyFont="1" applyFill="1" applyBorder="1" applyAlignment="1">
      <alignment horizontal="center" vertical="center" textRotation="90"/>
    </xf>
    <xf numFmtId="0" fontId="5" fillId="8" borderId="120" xfId="0" applyFont="1" applyFill="1" applyBorder="1" applyAlignment="1">
      <alignment horizontal="center" vertical="center" textRotation="90"/>
    </xf>
    <xf numFmtId="0" fontId="5" fillId="8" borderId="125" xfId="0" applyFont="1" applyFill="1" applyBorder="1" applyAlignment="1">
      <alignment horizontal="center" vertical="center" textRotation="90"/>
    </xf>
    <xf numFmtId="0" fontId="5" fillId="8" borderId="115" xfId="0" applyFont="1" applyFill="1" applyBorder="1" applyAlignment="1">
      <alignment vertical="top" wrapText="1"/>
    </xf>
    <xf numFmtId="0" fontId="5" fillId="0" borderId="115" xfId="0" applyFont="1" applyBorder="1" applyAlignment="1">
      <alignment vertical="top" wrapText="1"/>
    </xf>
    <xf numFmtId="0" fontId="5" fillId="0" borderId="116" xfId="0" applyFont="1" applyBorder="1" applyAlignment="1">
      <alignment vertical="top" wrapText="1"/>
    </xf>
    <xf numFmtId="0" fontId="5" fillId="8" borderId="109" xfId="0" applyFont="1" applyFill="1" applyBorder="1" applyAlignment="1">
      <alignment vertical="top" wrapText="1"/>
    </xf>
    <xf numFmtId="0" fontId="5" fillId="8" borderId="109" xfId="0" applyFont="1" applyFill="1" applyBorder="1" applyAlignment="1">
      <alignment horizontal="left" vertical="center" wrapText="1"/>
    </xf>
    <xf numFmtId="0" fontId="5" fillId="0" borderId="115" xfId="0" applyFont="1" applyBorder="1" applyAlignment="1">
      <alignment horizontal="left" vertical="center" wrapText="1"/>
    </xf>
    <xf numFmtId="0" fontId="5" fillId="0" borderId="116" xfId="0" applyFont="1" applyBorder="1" applyAlignment="1">
      <alignment horizontal="left" vertical="center" wrapText="1"/>
    </xf>
    <xf numFmtId="0" fontId="1" fillId="0" borderId="193" xfId="0" applyFont="1" applyBorder="1" applyAlignment="1">
      <alignment horizontal="left" vertical="center" wrapText="1"/>
    </xf>
    <xf numFmtId="0" fontId="29" fillId="8" borderId="89" xfId="0" applyFont="1" applyFill="1" applyBorder="1" applyAlignment="1">
      <alignment horizontal="center" vertical="center"/>
    </xf>
    <xf numFmtId="0" fontId="29" fillId="8" borderId="46" xfId="0" applyFont="1" applyFill="1" applyBorder="1" applyAlignment="1">
      <alignment horizontal="center" vertical="center"/>
    </xf>
    <xf numFmtId="0" fontId="29" fillId="8" borderId="89" xfId="0" applyFont="1" applyFill="1" applyBorder="1" applyAlignment="1">
      <alignment horizontal="center"/>
    </xf>
    <xf numFmtId="0" fontId="5" fillId="8" borderId="46" xfId="0" applyFont="1" applyFill="1" applyBorder="1" applyAlignment="1">
      <alignment horizontal="center"/>
    </xf>
    <xf numFmtId="4" fontId="5" fillId="8" borderId="118" xfId="0" applyNumberFormat="1" applyFont="1" applyFill="1" applyBorder="1" applyAlignment="1">
      <alignment horizontal="center" vertical="center"/>
    </xf>
    <xf numFmtId="0" fontId="5" fillId="8"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9" fillId="8" borderId="1" xfId="0" applyFont="1" applyFill="1" applyBorder="1" applyAlignment="1">
      <alignment horizontal="center" vertical="center"/>
    </xf>
    <xf numFmtId="0" fontId="1" fillId="6" borderId="68" xfId="0" applyFont="1" applyFill="1" applyBorder="1" applyAlignment="1">
      <alignment horizontal="left" vertical="center" wrapText="1"/>
    </xf>
    <xf numFmtId="0" fontId="1" fillId="6" borderId="0" xfId="0" applyFont="1" applyFill="1" applyAlignment="1">
      <alignment horizontal="left" vertical="center" wrapText="1"/>
    </xf>
    <xf numFmtId="0" fontId="5" fillId="8" borderId="115" xfId="0" applyFont="1" applyFill="1" applyBorder="1" applyAlignment="1">
      <alignment horizontal="center" vertical="center" wrapText="1"/>
    </xf>
    <xf numFmtId="0" fontId="5" fillId="8" borderId="116" xfId="0" applyFont="1" applyFill="1" applyBorder="1" applyAlignment="1">
      <alignment horizontal="center" vertical="center" wrapText="1"/>
    </xf>
    <xf numFmtId="0" fontId="29" fillId="12" borderId="1" xfId="0" applyFont="1" applyFill="1" applyBorder="1" applyAlignment="1">
      <alignment horizontal="center" vertical="center" wrapText="1"/>
    </xf>
    <xf numFmtId="2" fontId="29" fillId="12" borderId="1" xfId="0" applyNumberFormat="1" applyFont="1" applyFill="1" applyBorder="1" applyAlignment="1">
      <alignment horizontal="center" vertical="center" wrapText="1"/>
    </xf>
    <xf numFmtId="0" fontId="0" fillId="8" borderId="76" xfId="0" applyFill="1" applyBorder="1" applyAlignment="1">
      <alignment horizontal="left" vertical="center" wrapText="1"/>
    </xf>
    <xf numFmtId="0" fontId="0" fillId="8" borderId="75" xfId="0" applyFill="1" applyBorder="1" applyAlignment="1">
      <alignment horizontal="left" vertical="center" wrapText="1"/>
    </xf>
    <xf numFmtId="0" fontId="0" fillId="8" borderId="3" xfId="0" applyFill="1" applyBorder="1" applyAlignment="1">
      <alignment horizontal="left" vertical="center" wrapText="1"/>
    </xf>
    <xf numFmtId="0" fontId="33" fillId="8" borderId="76" xfId="0" applyFont="1" applyFill="1" applyBorder="1" applyAlignment="1">
      <alignment horizontal="center" vertical="center" wrapText="1"/>
    </xf>
    <xf numFmtId="0" fontId="33" fillId="8" borderId="75" xfId="0" applyFont="1" applyFill="1" applyBorder="1" applyAlignment="1">
      <alignment horizontal="center" vertical="center" wrapText="1"/>
    </xf>
    <xf numFmtId="0" fontId="33" fillId="8" borderId="3" xfId="0" applyFont="1" applyFill="1" applyBorder="1" applyAlignment="1">
      <alignment horizontal="center" vertical="center" wrapText="1"/>
    </xf>
    <xf numFmtId="0" fontId="5" fillId="8" borderId="109" xfId="0" applyFont="1" applyFill="1" applyBorder="1" applyAlignment="1">
      <alignment horizontal="center" vertical="center" wrapText="1"/>
    </xf>
    <xf numFmtId="0" fontId="5" fillId="8" borderId="1" xfId="0" applyFont="1" applyFill="1" applyBorder="1" applyAlignment="1">
      <alignment horizontal="center" vertical="center"/>
    </xf>
    <xf numFmtId="0" fontId="2" fillId="8" borderId="110" xfId="0" applyFont="1" applyFill="1" applyBorder="1" applyAlignment="1">
      <alignment horizontal="center" vertical="center"/>
    </xf>
    <xf numFmtId="0" fontId="2" fillId="8" borderId="115" xfId="0" applyFont="1" applyFill="1" applyBorder="1" applyAlignment="1">
      <alignment horizontal="center" vertical="center"/>
    </xf>
    <xf numFmtId="0" fontId="2" fillId="8" borderId="0" xfId="0" applyFont="1" applyFill="1" applyAlignment="1">
      <alignment horizontal="center" vertical="center"/>
    </xf>
    <xf numFmtId="0" fontId="2" fillId="8" borderId="116" xfId="0" applyFont="1" applyFill="1" applyBorder="1" applyAlignment="1">
      <alignment horizontal="center" vertical="center"/>
    </xf>
    <xf numFmtId="0" fontId="2" fillId="8" borderId="23" xfId="0" applyFont="1" applyFill="1" applyBorder="1" applyAlignment="1">
      <alignment horizontal="center" vertical="center"/>
    </xf>
    <xf numFmtId="0" fontId="29" fillId="12" borderId="16" xfId="0" applyFont="1" applyFill="1" applyBorder="1" applyAlignment="1">
      <alignment horizontal="center" vertical="center" textRotation="90"/>
    </xf>
    <xf numFmtId="0" fontId="29" fillId="12" borderId="120" xfId="0" applyFont="1" applyFill="1" applyBorder="1" applyAlignment="1">
      <alignment horizontal="center" vertical="center" textRotation="90"/>
    </xf>
    <xf numFmtId="2" fontId="29" fillId="8" borderId="89" xfId="0" applyNumberFormat="1" applyFont="1" applyFill="1" applyBorder="1" applyAlignment="1">
      <alignment horizontal="center" vertical="center" wrapText="1"/>
    </xf>
    <xf numFmtId="2" fontId="29" fillId="8" borderId="95" xfId="0" applyNumberFormat="1" applyFont="1" applyFill="1" applyBorder="1" applyAlignment="1">
      <alignment horizontal="center" vertical="center" wrapText="1"/>
    </xf>
    <xf numFmtId="2" fontId="29" fillId="8" borderId="46" xfId="0" applyNumberFormat="1" applyFont="1" applyFill="1" applyBorder="1" applyAlignment="1">
      <alignment horizontal="center" vertical="center" wrapText="1"/>
    </xf>
    <xf numFmtId="2" fontId="29" fillId="12" borderId="16" xfId="0" applyNumberFormat="1" applyFont="1" applyFill="1" applyBorder="1" applyAlignment="1">
      <alignment horizontal="center" vertical="center" wrapText="1"/>
    </xf>
    <xf numFmtId="2" fontId="29" fillId="12" borderId="120" xfId="0" applyNumberFormat="1" applyFont="1" applyFill="1" applyBorder="1" applyAlignment="1">
      <alignment horizontal="center" vertical="center" wrapText="1"/>
    </xf>
    <xf numFmtId="0" fontId="29" fillId="12" borderId="89" xfId="0" applyFont="1" applyFill="1" applyBorder="1" applyAlignment="1">
      <alignment horizontal="center" vertical="center" wrapText="1"/>
    </xf>
    <xf numFmtId="0" fontId="29" fillId="12" borderId="95" xfId="0" applyFont="1" applyFill="1" applyBorder="1" applyAlignment="1">
      <alignment horizontal="center" vertical="center" wrapText="1"/>
    </xf>
    <xf numFmtId="0" fontId="29" fillId="12" borderId="46" xfId="0" applyFont="1" applyFill="1" applyBorder="1" applyAlignment="1">
      <alignment horizontal="center" vertical="center" wrapText="1"/>
    </xf>
    <xf numFmtId="0" fontId="37" fillId="12" borderId="109" xfId="0" applyFont="1" applyFill="1" applyBorder="1" applyAlignment="1">
      <alignment horizontal="center" vertical="center"/>
    </xf>
    <xf numFmtId="0" fontId="37" fillId="12" borderId="92" xfId="0" applyFont="1" applyFill="1" applyBorder="1" applyAlignment="1">
      <alignment horizontal="center" vertical="center"/>
    </xf>
    <xf numFmtId="0" fontId="37" fillId="12" borderId="116" xfId="0" applyFont="1" applyFill="1" applyBorder="1" applyAlignment="1">
      <alignment horizontal="center" vertical="center"/>
    </xf>
    <xf numFmtId="0" fontId="37" fillId="12" borderId="22" xfId="0" applyFont="1" applyFill="1" applyBorder="1" applyAlignment="1">
      <alignment horizontal="center" vertical="center"/>
    </xf>
    <xf numFmtId="0" fontId="37" fillId="7" borderId="14" xfId="0" applyFont="1" applyFill="1" applyBorder="1" applyAlignment="1" applyProtection="1">
      <alignment horizontal="center" vertical="center"/>
      <protection locked="0"/>
    </xf>
    <xf numFmtId="0" fontId="29" fillId="3" borderId="89" xfId="0" applyFont="1" applyFill="1" applyBorder="1" applyAlignment="1" applyProtection="1">
      <alignment horizontal="right"/>
      <protection locked="0"/>
    </xf>
    <xf numFmtId="0" fontId="29" fillId="3" borderId="95" xfId="0" applyFont="1" applyFill="1" applyBorder="1" applyAlignment="1" applyProtection="1">
      <alignment horizontal="right"/>
      <protection locked="0"/>
    </xf>
    <xf numFmtId="0" fontId="29" fillId="3" borderId="46" xfId="0" applyFont="1" applyFill="1" applyBorder="1" applyAlignment="1" applyProtection="1">
      <alignment horizontal="right"/>
      <protection locked="0"/>
    </xf>
    <xf numFmtId="0" fontId="29" fillId="11" borderId="144" xfId="0" applyFont="1" applyFill="1" applyBorder="1" applyAlignment="1" applyProtection="1">
      <alignment horizontal="right" vertical="center" wrapText="1"/>
      <protection locked="0"/>
    </xf>
    <xf numFmtId="0" fontId="29" fillId="11" borderId="145" xfId="0" applyFont="1" applyFill="1" applyBorder="1" applyAlignment="1" applyProtection="1">
      <alignment horizontal="right" vertical="center" wrapText="1"/>
      <protection locked="0"/>
    </xf>
    <xf numFmtId="0" fontId="37" fillId="0" borderId="16" xfId="0" applyFont="1" applyBorder="1" applyAlignment="1" applyProtection="1">
      <alignment vertical="top"/>
      <protection locked="0"/>
    </xf>
    <xf numFmtId="0" fontId="37" fillId="0" borderId="120" xfId="0" applyFont="1" applyBorder="1" applyAlignment="1" applyProtection="1">
      <alignment vertical="top"/>
      <protection locked="0"/>
    </xf>
    <xf numFmtId="0" fontId="37" fillId="0" borderId="125" xfId="0" applyFont="1" applyBorder="1" applyAlignment="1" applyProtection="1">
      <alignment vertical="top"/>
      <protection locked="0"/>
    </xf>
    <xf numFmtId="0" fontId="37" fillId="3" borderId="146" xfId="0" applyFont="1" applyFill="1" applyBorder="1" applyAlignment="1"/>
    <xf numFmtId="0" fontId="37" fillId="3" borderId="147" xfId="0" applyFont="1" applyFill="1" applyBorder="1" applyAlignment="1"/>
    <xf numFmtId="2" fontId="37" fillId="3" borderId="16" xfId="0" applyNumberFormat="1" applyFont="1" applyFill="1" applyBorder="1" applyAlignment="1"/>
    <xf numFmtId="2" fontId="37" fillId="0" borderId="120" xfId="0" applyNumberFormat="1" applyFont="1" applyBorder="1" applyAlignment="1"/>
    <xf numFmtId="2" fontId="37" fillId="0" borderId="121" xfId="0" applyNumberFormat="1" applyFont="1" applyBorder="1" applyAlignment="1"/>
    <xf numFmtId="0" fontId="0" fillId="0" borderId="91" xfId="0" applyBorder="1" applyAlignment="1">
      <alignment horizontal="right" vertical="center" wrapText="1"/>
    </xf>
    <xf numFmtId="0" fontId="37" fillId="10" borderId="149" xfId="0" applyFont="1" applyFill="1" applyBorder="1" applyAlignment="1">
      <alignment vertical="center"/>
    </xf>
    <xf numFmtId="0" fontId="37" fillId="10" borderId="150" xfId="0" applyFont="1" applyFill="1" applyBorder="1" applyAlignment="1">
      <alignment vertical="center"/>
    </xf>
    <xf numFmtId="0" fontId="37" fillId="10" borderId="151" xfId="0" applyFont="1" applyFill="1" applyBorder="1" applyAlignment="1">
      <alignment vertical="center"/>
    </xf>
    <xf numFmtId="0" fontId="37" fillId="0" borderId="148" xfId="0" applyFont="1" applyBorder="1" applyAlignment="1" applyProtection="1">
      <alignment vertical="top"/>
      <protection locked="0"/>
    </xf>
    <xf numFmtId="0" fontId="37" fillId="9" borderId="86" xfId="0" applyFont="1" applyFill="1" applyBorder="1" applyAlignment="1">
      <alignment horizontal="center" vertical="center"/>
    </xf>
    <xf numFmtId="0" fontId="37" fillId="9" borderId="75" xfId="0" applyFont="1" applyFill="1" applyBorder="1" applyAlignment="1">
      <alignment horizontal="center" vertical="center"/>
    </xf>
    <xf numFmtId="0" fontId="37" fillId="9" borderId="138" xfId="0" applyFont="1" applyFill="1" applyBorder="1" applyAlignment="1">
      <alignment horizontal="center" vertical="center"/>
    </xf>
    <xf numFmtId="0" fontId="37" fillId="7" borderId="125" xfId="0" applyFont="1" applyFill="1" applyBorder="1" applyAlignment="1" applyProtection="1">
      <alignment horizontal="center" vertical="center"/>
      <protection locked="0"/>
    </xf>
    <xf numFmtId="0" fontId="5" fillId="8" borderId="16" xfId="0" applyFont="1" applyFill="1" applyBorder="1" applyAlignment="1">
      <alignment horizontal="center" vertical="center" wrapText="1"/>
    </xf>
    <xf numFmtId="0" fontId="5" fillId="0" borderId="125" xfId="0" applyFont="1" applyBorder="1" applyAlignment="1">
      <alignment horizontal="center" vertical="center" wrapText="1"/>
    </xf>
    <xf numFmtId="2" fontId="37" fillId="10" borderId="16" xfId="0" applyNumberFormat="1" applyFont="1" applyFill="1" applyBorder="1" applyAlignment="1">
      <alignment vertical="center"/>
    </xf>
    <xf numFmtId="2" fontId="37" fillId="10" borderId="120" xfId="0" applyNumberFormat="1" applyFont="1" applyFill="1" applyBorder="1" applyAlignment="1">
      <alignment vertical="center"/>
    </xf>
    <xf numFmtId="2" fontId="37" fillId="10" borderId="136" xfId="0" applyNumberFormat="1" applyFont="1" applyFill="1" applyBorder="1" applyAlignment="1">
      <alignment vertical="center"/>
    </xf>
    <xf numFmtId="2" fontId="37" fillId="3" borderId="120" xfId="0" applyNumberFormat="1" applyFont="1" applyFill="1" applyBorder="1" applyAlignment="1"/>
    <xf numFmtId="0" fontId="37" fillId="9" borderId="16" xfId="0" applyFont="1" applyFill="1" applyBorder="1" applyAlignment="1">
      <alignment vertical="center"/>
    </xf>
    <xf numFmtId="0" fontId="37" fillId="9" borderId="120" xfId="0" applyFont="1" applyFill="1" applyBorder="1" applyAlignment="1">
      <alignment vertical="center"/>
    </xf>
    <xf numFmtId="0" fontId="37" fillId="9" borderId="136" xfId="0" applyFont="1" applyFill="1" applyBorder="1" applyAlignment="1">
      <alignment vertical="center"/>
    </xf>
    <xf numFmtId="0" fontId="29" fillId="10" borderId="139" xfId="0" applyFont="1" applyFill="1" applyBorder="1" applyAlignment="1">
      <alignment horizontal="right" vertical="center" wrapText="1"/>
    </xf>
    <xf numFmtId="0" fontId="29" fillId="10" borderId="140" xfId="0" applyFont="1" applyFill="1" applyBorder="1" applyAlignment="1">
      <alignment horizontal="right" vertical="center" wrapText="1"/>
    </xf>
    <xf numFmtId="0" fontId="0" fillId="15" borderId="89" xfId="0" applyFill="1" applyBorder="1" applyAlignment="1">
      <alignment horizontal="center" vertical="center"/>
    </xf>
    <xf numFmtId="0" fontId="0" fillId="15" borderId="46" xfId="0" applyFill="1" applyBorder="1" applyAlignment="1">
      <alignment horizontal="center" vertical="center"/>
    </xf>
    <xf numFmtId="0" fontId="5" fillId="8" borderId="118" xfId="0" applyFont="1" applyFill="1" applyBorder="1" applyAlignment="1">
      <alignment horizontal="center" vertical="center" wrapText="1"/>
    </xf>
    <xf numFmtId="0" fontId="5" fillId="8" borderId="113" xfId="0" applyFont="1" applyFill="1" applyBorder="1" applyAlignment="1">
      <alignment horizontal="center" vertical="center" wrapText="1"/>
    </xf>
    <xf numFmtId="0" fontId="5" fillId="12" borderId="112" xfId="0" applyFont="1" applyFill="1" applyBorder="1" applyAlignment="1">
      <alignment horizontal="center" vertical="center" wrapText="1"/>
    </xf>
    <xf numFmtId="0" fontId="5" fillId="12" borderId="113" xfId="0" applyFont="1" applyFill="1" applyBorder="1" applyAlignment="1">
      <alignment horizontal="center" vertical="center" wrapText="1"/>
    </xf>
    <xf numFmtId="0" fontId="5" fillId="12" borderId="57" xfId="0" applyFont="1" applyFill="1" applyBorder="1" applyAlignment="1">
      <alignment horizontal="center" vertical="center" wrapText="1"/>
    </xf>
    <xf numFmtId="2" fontId="0" fillId="13" borderId="120" xfId="0" applyNumberFormat="1" applyFill="1" applyBorder="1" applyAlignment="1"/>
    <xf numFmtId="0" fontId="0" fillId="7" borderId="122" xfId="0" applyFill="1" applyBorder="1" applyAlignment="1" applyProtection="1">
      <protection locked="0"/>
    </xf>
    <xf numFmtId="0" fontId="0" fillId="7" borderId="123" xfId="0" applyFill="1" applyBorder="1" applyAlignment="1" applyProtection="1">
      <protection locked="0"/>
    </xf>
    <xf numFmtId="0" fontId="0" fillId="7" borderId="66" xfId="0" applyFill="1" applyBorder="1" applyAlignment="1" applyProtection="1">
      <protection locked="0"/>
    </xf>
    <xf numFmtId="2" fontId="0" fillId="13" borderId="16" xfId="0" applyNumberFormat="1" applyFill="1" applyBorder="1" applyAlignment="1"/>
    <xf numFmtId="2" fontId="0" fillId="13" borderId="125" xfId="0" applyNumberFormat="1" applyFill="1" applyBorder="1" applyAlignment="1"/>
    <xf numFmtId="0" fontId="0" fillId="0" borderId="16" xfId="0" applyBorder="1" applyAlignment="1" applyProtection="1">
      <alignment vertical="top"/>
      <protection locked="0"/>
    </xf>
    <xf numFmtId="0" fontId="0" fillId="0" borderId="120" xfId="0" applyBorder="1" applyAlignment="1" applyProtection="1">
      <alignment vertical="top"/>
      <protection locked="0"/>
    </xf>
    <xf numFmtId="0" fontId="0" fillId="0" borderId="125" xfId="0" applyBorder="1" applyAlignment="1" applyProtection="1">
      <alignment vertical="top"/>
      <protection locked="0"/>
    </xf>
    <xf numFmtId="0" fontId="0" fillId="7" borderId="75" xfId="0" applyFill="1" applyBorder="1" applyAlignment="1" applyProtection="1">
      <protection locked="0"/>
    </xf>
    <xf numFmtId="0" fontId="0" fillId="13" borderId="21" xfId="0" applyFill="1" applyBorder="1" applyAlignment="1"/>
    <xf numFmtId="0" fontId="0" fillId="13" borderId="141" xfId="0" applyFill="1" applyBorder="1" applyAlignment="1"/>
    <xf numFmtId="0" fontId="0" fillId="7" borderId="86" xfId="0" applyFill="1" applyBorder="1" applyAlignment="1" applyProtection="1">
      <protection locked="0"/>
    </xf>
    <xf numFmtId="0" fontId="1" fillId="3" borderId="89" xfId="0" applyFont="1" applyFill="1" applyBorder="1" applyAlignment="1" applyProtection="1">
      <alignment horizontal="right" vertical="center"/>
      <protection locked="0"/>
    </xf>
    <xf numFmtId="0" fontId="1" fillId="3" borderId="95" xfId="0" applyFont="1" applyFill="1" applyBorder="1" applyAlignment="1" applyProtection="1">
      <alignment horizontal="right" vertical="center"/>
      <protection locked="0"/>
    </xf>
    <xf numFmtId="0" fontId="29" fillId="10" borderId="170" xfId="0" applyFont="1" applyFill="1" applyBorder="1" applyAlignment="1">
      <alignment horizontal="right" vertical="center" wrapText="1"/>
    </xf>
    <xf numFmtId="0" fontId="29" fillId="10" borderId="169" xfId="0" applyFont="1" applyFill="1" applyBorder="1" applyAlignment="1">
      <alignment horizontal="right" vertical="center" wrapText="1"/>
    </xf>
    <xf numFmtId="0" fontId="29" fillId="13" borderId="81" xfId="0" applyFont="1" applyFill="1" applyBorder="1" applyAlignment="1" applyProtection="1">
      <alignment horizontal="right" vertical="center" wrapText="1"/>
      <protection locked="0"/>
    </xf>
    <xf numFmtId="0" fontId="29" fillId="13" borderId="76" xfId="0" applyFont="1" applyFill="1" applyBorder="1" applyAlignment="1" applyProtection="1">
      <alignment horizontal="right" vertical="center" wrapText="1"/>
      <protection locked="0"/>
    </xf>
    <xf numFmtId="0" fontId="0" fillId="9" borderId="109" xfId="0" applyFill="1" applyBorder="1" applyAlignment="1">
      <alignment vertical="center"/>
    </xf>
    <xf numFmtId="0" fontId="0" fillId="9" borderId="115" xfId="0" applyFill="1" applyBorder="1" applyAlignment="1">
      <alignment vertical="center"/>
    </xf>
    <xf numFmtId="0" fontId="0" fillId="9" borderId="116" xfId="0" applyFill="1" applyBorder="1" applyAlignment="1">
      <alignment vertical="center"/>
    </xf>
    <xf numFmtId="0" fontId="29" fillId="13" borderId="18" xfId="0" applyFont="1" applyFill="1" applyBorder="1" applyAlignment="1" applyProtection="1">
      <alignment horizontal="right" vertical="center" wrapText="1"/>
      <protection locked="0"/>
    </xf>
    <xf numFmtId="0" fontId="29" fillId="13" borderId="21" xfId="0" applyFont="1" applyFill="1" applyBorder="1" applyAlignment="1" applyProtection="1">
      <alignment horizontal="right" vertical="center" wrapText="1"/>
      <protection locked="0"/>
    </xf>
    <xf numFmtId="0" fontId="5" fillId="3" borderId="89" xfId="0" applyFont="1" applyFill="1" applyBorder="1" applyAlignment="1" applyProtection="1">
      <alignment horizontal="right"/>
      <protection locked="0"/>
    </xf>
    <xf numFmtId="0" fontId="5" fillId="3" borderId="95" xfId="0" applyFont="1" applyFill="1" applyBorder="1" applyAlignment="1" applyProtection="1">
      <alignment horizontal="right"/>
      <protection locked="0"/>
    </xf>
    <xf numFmtId="0" fontId="5" fillId="3" borderId="46" xfId="0" applyFont="1" applyFill="1" applyBorder="1" applyAlignment="1" applyProtection="1">
      <alignment horizontal="right"/>
      <protection locked="0"/>
    </xf>
    <xf numFmtId="0" fontId="0" fillId="13" borderId="76" xfId="0" applyFill="1" applyBorder="1" applyAlignment="1"/>
    <xf numFmtId="0" fontId="0" fillId="13" borderId="134" xfId="0" applyFill="1" applyBorder="1" applyAlignment="1"/>
    <xf numFmtId="0" fontId="0" fillId="9" borderId="86" xfId="0" applyFill="1" applyBorder="1" applyAlignment="1">
      <alignment horizontal="center" vertical="center"/>
    </xf>
    <xf numFmtId="0" fontId="0" fillId="9" borderId="75" xfId="0" applyFill="1" applyBorder="1" applyAlignment="1">
      <alignment horizontal="center" vertical="center"/>
    </xf>
    <xf numFmtId="0" fontId="0" fillId="9" borderId="138" xfId="0" applyFill="1" applyBorder="1" applyAlignment="1">
      <alignment horizontal="center" vertical="center"/>
    </xf>
    <xf numFmtId="2" fontId="0" fillId="10" borderId="92" xfId="0" applyNumberFormat="1" applyFill="1" applyBorder="1" applyAlignment="1">
      <alignment vertical="center"/>
    </xf>
    <xf numFmtId="2" fontId="0" fillId="10" borderId="91" xfId="0" applyNumberFormat="1" applyFill="1" applyBorder="1" applyAlignment="1">
      <alignment vertical="center"/>
    </xf>
    <xf numFmtId="2" fontId="0" fillId="10" borderId="157" xfId="0" applyNumberFormat="1" applyFill="1" applyBorder="1" applyAlignment="1">
      <alignment vertical="center"/>
    </xf>
    <xf numFmtId="0" fontId="0" fillId="0" borderId="126" xfId="0" applyBorder="1" applyAlignment="1">
      <alignment vertical="top" wrapText="1"/>
    </xf>
    <xf numFmtId="0" fontId="0" fillId="0" borderId="127" xfId="0" applyBorder="1" applyAlignment="1">
      <alignment vertical="top" wrapText="1"/>
    </xf>
    <xf numFmtId="0" fontId="0" fillId="0" borderId="63" xfId="0" applyBorder="1" applyAlignment="1">
      <alignment vertical="top" wrapText="1"/>
    </xf>
    <xf numFmtId="0" fontId="1" fillId="0" borderId="120" xfId="0" applyFont="1" applyBorder="1" applyAlignment="1" applyProtection="1">
      <alignment vertical="top"/>
      <protection locked="0"/>
    </xf>
    <xf numFmtId="0" fontId="1" fillId="7" borderId="86" xfId="0" applyFont="1" applyFill="1" applyBorder="1" applyAlignment="1" applyProtection="1">
      <protection locked="0"/>
    </xf>
    <xf numFmtId="0" fontId="1" fillId="7" borderId="75" xfId="0" applyFont="1" applyFill="1" applyBorder="1" applyAlignment="1" applyProtection="1">
      <protection locked="0"/>
    </xf>
    <xf numFmtId="0" fontId="0" fillId="10" borderId="169" xfId="0" applyFill="1" applyBorder="1" applyAlignment="1">
      <alignment horizontal="right" vertical="center"/>
    </xf>
    <xf numFmtId="0" fontId="5" fillId="8" borderId="112" xfId="0" applyFont="1" applyFill="1" applyBorder="1" applyAlignment="1">
      <alignment horizontal="center" vertical="center" wrapText="1"/>
    </xf>
    <xf numFmtId="0" fontId="5" fillId="8" borderId="57" xfId="0" applyFont="1" applyFill="1" applyBorder="1" applyAlignment="1">
      <alignment horizontal="center" vertical="center" wrapText="1"/>
    </xf>
    <xf numFmtId="0" fontId="0" fillId="3" borderId="124" xfId="0" applyFill="1" applyBorder="1" applyAlignment="1"/>
    <xf numFmtId="0" fontId="0" fillId="3" borderId="105" xfId="0" applyFill="1" applyBorder="1" applyAlignment="1"/>
    <xf numFmtId="0" fontId="0" fillId="3" borderId="30" xfId="0" applyFill="1" applyBorder="1" applyAlignment="1"/>
    <xf numFmtId="0" fontId="0" fillId="7" borderId="148" xfId="0" applyFill="1" applyBorder="1" applyAlignment="1" applyProtection="1">
      <alignment horizontal="center"/>
      <protection locked="0"/>
    </xf>
    <xf numFmtId="0" fontId="0" fillId="7" borderId="120" xfId="0" applyFill="1" applyBorder="1" applyAlignment="1" applyProtection="1">
      <alignment horizontal="center"/>
      <protection locked="0"/>
    </xf>
    <xf numFmtId="0" fontId="0" fillId="7" borderId="125" xfId="0" applyFill="1" applyBorder="1" applyAlignment="1" applyProtection="1">
      <alignment horizontal="center"/>
      <protection locked="0"/>
    </xf>
    <xf numFmtId="0" fontId="1" fillId="7" borderId="148" xfId="0" applyFont="1" applyFill="1" applyBorder="1" applyAlignment="1" applyProtection="1">
      <alignment horizontal="center"/>
      <protection locked="0"/>
    </xf>
    <xf numFmtId="0" fontId="1" fillId="7" borderId="16" xfId="0" applyFont="1" applyFill="1" applyBorder="1" applyAlignment="1" applyProtection="1">
      <alignment horizontal="center"/>
      <protection locked="0"/>
    </xf>
    <xf numFmtId="0" fontId="0" fillId="7" borderId="16" xfId="0" applyFill="1" applyBorder="1" applyAlignment="1" applyProtection="1">
      <alignment horizontal="center"/>
      <protection locked="0"/>
    </xf>
    <xf numFmtId="0" fontId="5" fillId="8" borderId="16" xfId="0" applyFont="1" applyFill="1" applyBorder="1" applyAlignment="1" applyProtection="1">
      <alignment horizontal="center" vertical="center" wrapText="1"/>
      <protection locked="0"/>
    </xf>
    <xf numFmtId="0" fontId="5" fillId="0" borderId="125" xfId="0" applyFont="1" applyBorder="1" applyAlignment="1" applyProtection="1">
      <alignment horizontal="center" vertical="center" wrapText="1"/>
      <protection locked="0"/>
    </xf>
    <xf numFmtId="0" fontId="0" fillId="9" borderId="16" xfId="0" applyFill="1" applyBorder="1" applyAlignment="1" applyProtection="1">
      <alignment horizontal="center" vertical="center"/>
      <protection locked="0"/>
    </xf>
    <xf numFmtId="0" fontId="0" fillId="9" borderId="120" xfId="0" applyFill="1" applyBorder="1" applyAlignment="1" applyProtection="1">
      <alignment horizontal="center" vertical="center"/>
      <protection locked="0"/>
    </xf>
    <xf numFmtId="0" fontId="0" fillId="9" borderId="136" xfId="0" applyFill="1" applyBorder="1" applyAlignment="1" applyProtection="1">
      <alignment horizontal="center" vertical="center"/>
      <protection locked="0"/>
    </xf>
    <xf numFmtId="172" fontId="0" fillId="3" borderId="16" xfId="0" applyNumberFormat="1" applyFill="1" applyBorder="1" applyAlignment="1">
      <alignment horizontal="right" vertical="center"/>
    </xf>
    <xf numFmtId="172" fontId="0" fillId="0" borderId="120" xfId="0" applyNumberFormat="1" applyBorder="1" applyAlignment="1">
      <alignment horizontal="right" vertical="center"/>
    </xf>
    <xf numFmtId="172" fontId="0" fillId="0" borderId="125" xfId="0" applyNumberFormat="1" applyBorder="1" applyAlignment="1">
      <alignment horizontal="right" vertical="center"/>
    </xf>
    <xf numFmtId="168" fontId="0" fillId="3" borderId="92" xfId="0" applyNumberFormat="1" applyFill="1" applyBorder="1" applyAlignment="1">
      <alignment horizontal="right" vertical="center"/>
    </xf>
    <xf numFmtId="168" fontId="0" fillId="3" borderId="91" xfId="0" applyNumberFormat="1" applyFill="1" applyBorder="1" applyAlignment="1">
      <alignment horizontal="right" vertical="center"/>
    </xf>
    <xf numFmtId="168" fontId="0" fillId="3" borderId="22" xfId="0" applyNumberFormat="1" applyFill="1" applyBorder="1" applyAlignment="1">
      <alignment horizontal="right" vertical="center"/>
    </xf>
    <xf numFmtId="168" fontId="0" fillId="10" borderId="16" xfId="0" applyNumberFormat="1" applyFill="1" applyBorder="1" applyAlignment="1" applyProtection="1">
      <alignment vertical="center"/>
      <protection locked="0"/>
    </xf>
    <xf numFmtId="168" fontId="0" fillId="10" borderId="120" xfId="0" applyNumberFormat="1" applyFill="1" applyBorder="1" applyAlignment="1" applyProtection="1">
      <alignment vertical="center"/>
      <protection locked="0"/>
    </xf>
    <xf numFmtId="168" fontId="0" fillId="10" borderId="136" xfId="0" applyNumberFormat="1" applyFill="1" applyBorder="1" applyAlignment="1" applyProtection="1">
      <alignment vertical="center"/>
      <protection locked="0"/>
    </xf>
    <xf numFmtId="172" fontId="0" fillId="3" borderId="120" xfId="0" applyNumberFormat="1" applyFill="1" applyBorder="1" applyAlignment="1">
      <alignment horizontal="right" vertical="center"/>
    </xf>
    <xf numFmtId="172" fontId="0" fillId="0" borderId="121" xfId="0" applyNumberFormat="1" applyBorder="1" applyAlignment="1">
      <alignment horizontal="right" vertical="center"/>
    </xf>
    <xf numFmtId="174" fontId="0" fillId="10" borderId="92" xfId="5" applyNumberFormat="1" applyFont="1" applyFill="1" applyBorder="1" applyAlignment="1" applyProtection="1">
      <alignment horizontal="center" vertical="center"/>
      <protection locked="0"/>
    </xf>
    <xf numFmtId="174" fontId="0" fillId="10" borderId="91" xfId="5" applyNumberFormat="1" applyFont="1" applyFill="1" applyBorder="1" applyAlignment="1" applyProtection="1">
      <alignment horizontal="center" vertical="center"/>
      <protection locked="0"/>
    </xf>
    <xf numFmtId="174" fontId="0" fillId="10" borderId="157" xfId="5" applyNumberFormat="1" applyFont="1" applyFill="1" applyBorder="1" applyAlignment="1" applyProtection="1">
      <alignment horizontal="center" vertical="center"/>
      <protection locked="0"/>
    </xf>
    <xf numFmtId="0" fontId="0" fillId="0" borderId="121" xfId="0" applyBorder="1" applyAlignment="1" applyProtection="1">
      <alignment vertical="top"/>
      <protection locked="0"/>
    </xf>
    <xf numFmtId="0" fontId="0" fillId="7" borderId="16" xfId="0" applyFill="1" applyBorder="1" applyAlignment="1" applyProtection="1">
      <protection locked="0"/>
    </xf>
    <xf numFmtId="0" fontId="0" fillId="7" borderId="120" xfId="0" applyFill="1" applyBorder="1" applyAlignment="1" applyProtection="1">
      <protection locked="0"/>
    </xf>
    <xf numFmtId="0" fontId="0" fillId="7" borderId="121" xfId="0" applyFill="1" applyBorder="1" applyAlignment="1" applyProtection="1">
      <protection locked="0"/>
    </xf>
    <xf numFmtId="174" fontId="0" fillId="3" borderId="92" xfId="0" applyNumberFormat="1" applyFill="1" applyBorder="1" applyAlignment="1">
      <alignment horizontal="right" vertical="center"/>
    </xf>
    <xf numFmtId="174" fontId="0" fillId="3" borderId="91" xfId="0" applyNumberFormat="1" applyFill="1" applyBorder="1" applyAlignment="1">
      <alignment horizontal="right" vertical="center"/>
    </xf>
    <xf numFmtId="174" fontId="0" fillId="3" borderId="22" xfId="0" applyNumberFormat="1" applyFill="1" applyBorder="1" applyAlignment="1">
      <alignment horizontal="right" vertical="center"/>
    </xf>
    <xf numFmtId="0" fontId="0" fillId="7" borderId="125" xfId="0" applyFill="1" applyBorder="1" applyAlignment="1" applyProtection="1">
      <protection locked="0"/>
    </xf>
    <xf numFmtId="0" fontId="5" fillId="8" borderId="89" xfId="0" applyFont="1" applyFill="1" applyBorder="1" applyAlignment="1" applyProtection="1">
      <alignment horizontal="center" vertical="center" wrapText="1"/>
      <protection locked="0"/>
    </xf>
    <xf numFmtId="0" fontId="5" fillId="8" borderId="95" xfId="0" applyFont="1" applyFill="1" applyBorder="1" applyAlignment="1" applyProtection="1">
      <alignment horizontal="center" vertical="center" wrapText="1"/>
      <protection locked="0"/>
    </xf>
    <xf numFmtId="0" fontId="5" fillId="8" borderId="46" xfId="0" applyFont="1" applyFill="1" applyBorder="1" applyAlignment="1" applyProtection="1">
      <alignment horizontal="center" vertical="center" wrapText="1"/>
      <protection locked="0"/>
    </xf>
    <xf numFmtId="0" fontId="0" fillId="15" borderId="16" xfId="0" applyFill="1" applyBorder="1" applyAlignment="1" applyProtection="1">
      <alignment vertical="top"/>
      <protection locked="0"/>
    </xf>
    <xf numFmtId="0" fontId="0" fillId="15" borderId="120" xfId="0" applyFill="1" applyBorder="1" applyAlignment="1" applyProtection="1">
      <alignment vertical="top"/>
      <protection locked="0"/>
    </xf>
    <xf numFmtId="0" fontId="0" fillId="15" borderId="125" xfId="0" applyFill="1" applyBorder="1" applyAlignment="1" applyProtection="1">
      <alignment vertical="top"/>
      <protection locked="0"/>
    </xf>
    <xf numFmtId="0" fontId="0" fillId="10" borderId="154" xfId="0" applyFill="1" applyBorder="1" applyAlignment="1" applyProtection="1">
      <protection locked="0"/>
    </xf>
    <xf numFmtId="0" fontId="0" fillId="10" borderId="155" xfId="0" applyFill="1" applyBorder="1" applyAlignment="1" applyProtection="1">
      <protection locked="0"/>
    </xf>
    <xf numFmtId="0" fontId="0" fillId="10" borderId="156" xfId="0" applyFill="1" applyBorder="1" applyAlignment="1" applyProtection="1">
      <protection locked="0"/>
    </xf>
    <xf numFmtId="0" fontId="1" fillId="9" borderId="16" xfId="0" applyFont="1" applyFill="1" applyBorder="1" applyAlignment="1" applyProtection="1">
      <alignment horizontal="right" vertical="center" wrapText="1"/>
      <protection locked="0"/>
    </xf>
    <xf numFmtId="0" fontId="0" fillId="9" borderId="120" xfId="0" applyFill="1" applyBorder="1" applyAlignment="1" applyProtection="1">
      <alignment horizontal="right" vertical="center" wrapText="1"/>
      <protection locked="0"/>
    </xf>
    <xf numFmtId="0" fontId="0" fillId="9" borderId="136" xfId="0" applyFill="1" applyBorder="1" applyAlignment="1" applyProtection="1">
      <alignment horizontal="right" vertical="center" wrapText="1"/>
      <protection locked="0"/>
    </xf>
    <xf numFmtId="43" fontId="0" fillId="9" borderId="16" xfId="5" applyFont="1" applyFill="1" applyBorder="1" applyAlignment="1" applyProtection="1">
      <alignment horizontal="center" vertical="center"/>
      <protection locked="0"/>
    </xf>
    <xf numFmtId="43" fontId="0" fillId="9" borderId="120" xfId="5" applyFont="1" applyFill="1" applyBorder="1" applyAlignment="1" applyProtection="1">
      <alignment horizontal="center" vertical="center"/>
      <protection locked="0"/>
    </xf>
    <xf numFmtId="43" fontId="0" fillId="9" borderId="136" xfId="5" applyFont="1" applyFill="1" applyBorder="1" applyAlignment="1" applyProtection="1">
      <alignment horizontal="center" vertical="center"/>
      <protection locked="0"/>
    </xf>
    <xf numFmtId="0" fontId="1" fillId="7" borderId="91" xfId="0" applyFont="1" applyFill="1" applyBorder="1" applyAlignment="1" applyProtection="1">
      <protection locked="0"/>
    </xf>
    <xf numFmtId="0" fontId="0" fillId="7" borderId="91" xfId="0" applyFill="1" applyBorder="1" applyAlignment="1" applyProtection="1">
      <protection locked="0"/>
    </xf>
    <xf numFmtId="0" fontId="0" fillId="3" borderId="105" xfId="0" applyFill="1" applyBorder="1" applyAlignment="1" applyProtection="1">
      <protection locked="0"/>
    </xf>
    <xf numFmtId="0" fontId="0" fillId="0" borderId="105" xfId="0" applyBorder="1" applyAlignment="1" applyProtection="1">
      <protection locked="0"/>
    </xf>
    <xf numFmtId="0" fontId="5" fillId="8" borderId="16" xfId="0" applyFont="1" applyFill="1" applyBorder="1" applyAlignment="1">
      <alignment vertical="center"/>
    </xf>
    <xf numFmtId="0" fontId="5" fillId="0" borderId="125" xfId="0" applyFont="1" applyBorder="1" applyAlignment="1">
      <alignment vertical="center"/>
    </xf>
    <xf numFmtId="0" fontId="0" fillId="9" borderId="36" xfId="0" applyFill="1" applyBorder="1" applyAlignment="1" applyProtection="1">
      <alignment vertical="center"/>
      <protection locked="0"/>
    </xf>
    <xf numFmtId="0" fontId="0" fillId="9" borderId="37" xfId="0" applyFill="1" applyBorder="1" applyAlignment="1" applyProtection="1">
      <alignment vertical="center"/>
      <protection locked="0"/>
    </xf>
    <xf numFmtId="0" fontId="0" fillId="9" borderId="158" xfId="0" applyFill="1" applyBorder="1" applyAlignment="1" applyProtection="1">
      <alignment vertical="center"/>
      <protection locked="0"/>
    </xf>
    <xf numFmtId="0" fontId="5" fillId="8" borderId="112" xfId="0" applyFont="1" applyFill="1" applyBorder="1" applyAlignment="1">
      <alignment horizontal="center"/>
    </xf>
    <xf numFmtId="0" fontId="5" fillId="8" borderId="113" xfId="0" applyFont="1" applyFill="1" applyBorder="1" applyAlignment="1">
      <alignment horizontal="center"/>
    </xf>
    <xf numFmtId="0" fontId="0" fillId="0" borderId="38" xfId="0" applyBorder="1" applyAlignment="1" applyProtection="1">
      <alignment vertical="top"/>
      <protection locked="0"/>
    </xf>
    <xf numFmtId="0" fontId="0" fillId="0" borderId="37" xfId="0" applyBorder="1" applyAlignment="1" applyProtection="1">
      <alignment vertical="top"/>
      <protection locked="0"/>
    </xf>
    <xf numFmtId="0" fontId="0" fillId="0" borderId="40" xfId="0" applyBorder="1" applyAlignment="1" applyProtection="1">
      <alignment vertical="top"/>
      <protection locked="0"/>
    </xf>
    <xf numFmtId="0" fontId="0" fillId="3" borderId="128" xfId="0" applyFill="1" applyBorder="1" applyAlignment="1"/>
    <xf numFmtId="0" fontId="0" fillId="0" borderId="128" xfId="0" applyBorder="1" applyAlignment="1"/>
    <xf numFmtId="0" fontId="0" fillId="0" borderId="36" xfId="0" applyBorder="1" applyAlignment="1" applyProtection="1">
      <alignment vertical="top"/>
      <protection locked="0"/>
    </xf>
    <xf numFmtId="0" fontId="1" fillId="3" borderId="89" xfId="0" applyFont="1" applyFill="1" applyBorder="1" applyAlignment="1" applyProtection="1">
      <alignment horizontal="right"/>
      <protection locked="0"/>
    </xf>
    <xf numFmtId="0" fontId="1" fillId="3" borderId="95" xfId="0" applyFont="1" applyFill="1" applyBorder="1" applyAlignment="1" applyProtection="1">
      <alignment horizontal="right"/>
      <protection locked="0"/>
    </xf>
    <xf numFmtId="0" fontId="0" fillId="3" borderId="95" xfId="0" applyFill="1" applyBorder="1" applyAlignment="1" applyProtection="1">
      <alignment horizontal="right"/>
      <protection locked="0"/>
    </xf>
    <xf numFmtId="0" fontId="0" fillId="3" borderId="46" xfId="0" applyFill="1" applyBorder="1" applyAlignment="1" applyProtection="1">
      <alignment horizontal="right"/>
      <protection locked="0"/>
    </xf>
    <xf numFmtId="0" fontId="5" fillId="0" borderId="56" xfId="0" applyFont="1" applyBorder="1" applyAlignment="1">
      <alignment horizontal="center"/>
    </xf>
    <xf numFmtId="0" fontId="0" fillId="0" borderId="105" xfId="0" applyBorder="1" applyAlignment="1"/>
    <xf numFmtId="0" fontId="5" fillId="8" borderId="92" xfId="0" applyFont="1" applyFill="1" applyBorder="1" applyAlignment="1">
      <alignment horizontal="center" vertical="center" wrapText="1"/>
    </xf>
    <xf numFmtId="0" fontId="5" fillId="0" borderId="22" xfId="0" applyFont="1" applyBorder="1" applyAlignment="1">
      <alignment horizontal="center" vertical="center" wrapText="1"/>
    </xf>
    <xf numFmtId="0" fontId="0" fillId="9" borderId="114" xfId="0" applyFill="1" applyBorder="1" applyAlignment="1" applyProtection="1">
      <alignment horizontal="center" vertical="center"/>
      <protection locked="0"/>
    </xf>
    <xf numFmtId="0" fontId="0" fillId="9" borderId="93" xfId="0" applyFill="1" applyBorder="1" applyAlignment="1" applyProtection="1">
      <alignment horizontal="center" vertical="center"/>
      <protection locked="0"/>
    </xf>
    <xf numFmtId="0" fontId="0" fillId="9" borderId="159" xfId="0" applyFill="1" applyBorder="1" applyAlignment="1" applyProtection="1">
      <alignment horizontal="center" vertical="center"/>
      <protection locked="0"/>
    </xf>
    <xf numFmtId="0" fontId="1" fillId="7" borderId="114" xfId="0" applyFont="1" applyFill="1" applyBorder="1" applyAlignment="1" applyProtection="1">
      <protection locked="0"/>
    </xf>
    <xf numFmtId="0" fontId="0" fillId="7" borderId="93" xfId="0" applyFill="1" applyBorder="1" applyAlignment="1" applyProtection="1">
      <protection locked="0"/>
    </xf>
    <xf numFmtId="0" fontId="0" fillId="7" borderId="41" xfId="0" applyFill="1" applyBorder="1" applyAlignment="1" applyProtection="1">
      <protection locked="0"/>
    </xf>
    <xf numFmtId="2" fontId="0" fillId="3" borderId="91" xfId="0" applyNumberFormat="1" applyFill="1" applyBorder="1" applyAlignment="1">
      <alignment horizontal="center" vertical="center"/>
    </xf>
    <xf numFmtId="2" fontId="0" fillId="3" borderId="92" xfId="0" applyNumberFormat="1" applyFill="1" applyBorder="1" applyAlignment="1">
      <alignment horizontal="center" vertical="center"/>
    </xf>
    <xf numFmtId="2" fontId="0" fillId="3" borderId="22" xfId="0" applyNumberFormat="1" applyFill="1" applyBorder="1" applyAlignment="1">
      <alignment horizontal="center" vertical="center"/>
    </xf>
    <xf numFmtId="0" fontId="0" fillId="9" borderId="92" xfId="0" applyFill="1" applyBorder="1" applyAlignment="1" applyProtection="1">
      <alignment horizontal="center" vertical="center"/>
      <protection locked="0"/>
    </xf>
    <xf numFmtId="0" fontId="0" fillId="9" borderId="91" xfId="0" applyFill="1" applyBorder="1" applyAlignment="1" applyProtection="1">
      <alignment horizontal="center" vertical="center"/>
      <protection locked="0"/>
    </xf>
    <xf numFmtId="0" fontId="0" fillId="9" borderId="157" xfId="0" applyFill="1" applyBorder="1" applyAlignment="1" applyProtection="1">
      <alignment horizontal="center" vertical="center"/>
      <protection locked="0"/>
    </xf>
    <xf numFmtId="2" fontId="0" fillId="10" borderId="92" xfId="0" applyNumberFormat="1" applyFill="1" applyBorder="1" applyAlignment="1" applyProtection="1">
      <alignment horizontal="center" vertical="center"/>
      <protection locked="0"/>
    </xf>
    <xf numFmtId="2" fontId="0" fillId="10" borderId="91" xfId="0" applyNumberFormat="1" applyFill="1" applyBorder="1" applyAlignment="1" applyProtection="1">
      <alignment horizontal="center" vertical="center"/>
      <protection locked="0"/>
    </xf>
    <xf numFmtId="2" fontId="0" fillId="10" borderId="157" xfId="0" applyNumberFormat="1" applyFill="1" applyBorder="1" applyAlignment="1" applyProtection="1">
      <alignment horizontal="center" vertical="center"/>
      <protection locked="0"/>
    </xf>
    <xf numFmtId="0" fontId="0" fillId="7" borderId="22" xfId="0" applyFill="1" applyBorder="1" applyAlignment="1" applyProtection="1">
      <protection locked="0"/>
    </xf>
    <xf numFmtId="0" fontId="0" fillId="7" borderId="92" xfId="0" applyFill="1" applyBorder="1" applyAlignment="1" applyProtection="1">
      <protection locked="0"/>
    </xf>
    <xf numFmtId="0" fontId="1" fillId="7" borderId="93" xfId="0" applyFont="1" applyFill="1" applyBorder="1" applyAlignment="1" applyProtection="1">
      <protection locked="0"/>
    </xf>
    <xf numFmtId="0" fontId="1" fillId="8" borderId="92" xfId="0" applyFont="1" applyFill="1" applyBorder="1" applyAlignment="1" applyProtection="1">
      <alignment horizontal="center" vertical="center" wrapText="1"/>
      <protection locked="0"/>
    </xf>
    <xf numFmtId="0" fontId="0" fillId="8" borderId="22" xfId="0" applyFill="1" applyBorder="1" applyAlignment="1" applyProtection="1">
      <alignment horizontal="center" vertical="center" wrapText="1"/>
      <protection locked="0"/>
    </xf>
    <xf numFmtId="0" fontId="1" fillId="3" borderId="46" xfId="0" applyFont="1" applyFill="1" applyBorder="1" applyAlignment="1" applyProtection="1">
      <alignment horizontal="right"/>
      <protection locked="0"/>
    </xf>
    <xf numFmtId="0" fontId="0" fillId="8" borderId="16" xfId="0" applyFill="1" applyBorder="1" applyAlignment="1" applyProtection="1">
      <alignment wrapText="1"/>
      <protection locked="0"/>
    </xf>
    <xf numFmtId="0" fontId="0" fillId="8" borderId="125" xfId="0" applyFill="1" applyBorder="1" applyAlignment="1" applyProtection="1">
      <alignment wrapText="1"/>
      <protection locked="0"/>
    </xf>
    <xf numFmtId="0" fontId="0" fillId="8" borderId="112" xfId="0" applyFill="1" applyBorder="1" applyAlignment="1" applyProtection="1">
      <alignment horizontal="center" vertical="center" wrapText="1"/>
      <protection locked="0"/>
    </xf>
    <xf numFmtId="0" fontId="0" fillId="8" borderId="113" xfId="0" applyFill="1" applyBorder="1" applyAlignment="1" applyProtection="1">
      <alignment horizontal="center" vertical="center" wrapText="1"/>
      <protection locked="0"/>
    </xf>
    <xf numFmtId="0" fontId="0" fillId="8" borderId="56" xfId="0" applyFill="1" applyBorder="1" applyAlignment="1" applyProtection="1">
      <alignment horizontal="center" vertical="center" wrapText="1"/>
      <protection locked="0"/>
    </xf>
    <xf numFmtId="43" fontId="0" fillId="16" borderId="65" xfId="5" applyFont="1" applyFill="1" applyBorder="1" applyAlignment="1" applyProtection="1">
      <alignment vertical="center"/>
    </xf>
    <xf numFmtId="43" fontId="0" fillId="16" borderId="27" xfId="5" applyFont="1" applyFill="1" applyBorder="1" applyAlignment="1" applyProtection="1">
      <alignment vertical="center"/>
    </xf>
    <xf numFmtId="43" fontId="0" fillId="16" borderId="30" xfId="5" applyFont="1" applyFill="1" applyBorder="1" applyAlignment="1" applyProtection="1">
      <alignment vertical="center"/>
    </xf>
    <xf numFmtId="0" fontId="0" fillId="0" borderId="16" xfId="0" applyBorder="1" applyAlignment="1" applyProtection="1">
      <protection locked="0"/>
    </xf>
    <xf numFmtId="0" fontId="0" fillId="0" borderId="120" xfId="0" applyBorder="1" applyAlignment="1" applyProtection="1">
      <protection locked="0"/>
    </xf>
    <xf numFmtId="0" fontId="0" fillId="0" borderId="43" xfId="0" applyBorder="1" applyAlignment="1" applyProtection="1">
      <protection locked="0"/>
    </xf>
    <xf numFmtId="43" fontId="0" fillId="7" borderId="19" xfId="5" applyFont="1" applyFill="1" applyBorder="1" applyAlignment="1" applyProtection="1">
      <alignment horizontal="center" vertical="center"/>
      <protection locked="0"/>
    </xf>
    <xf numFmtId="43" fontId="0" fillId="7" borderId="20" xfId="5" applyFont="1" applyFill="1" applyBorder="1" applyAlignment="1" applyProtection="1">
      <alignment horizontal="center" vertical="center"/>
      <protection locked="0"/>
    </xf>
    <xf numFmtId="43" fontId="0" fillId="7" borderId="31" xfId="5" applyFont="1" applyFill="1" applyBorder="1" applyAlignment="1" applyProtection="1">
      <alignment horizontal="center" vertical="center"/>
      <protection locked="0"/>
    </xf>
    <xf numFmtId="43" fontId="0" fillId="7" borderId="65" xfId="5" applyFont="1" applyFill="1" applyBorder="1" applyAlignment="1" applyProtection="1">
      <alignment horizontal="center" vertical="center"/>
      <protection locked="0"/>
    </xf>
    <xf numFmtId="43" fontId="0" fillId="7" borderId="27" xfId="5" applyFont="1" applyFill="1" applyBorder="1" applyAlignment="1" applyProtection="1">
      <alignment horizontal="center" vertical="center"/>
      <protection locked="0"/>
    </xf>
    <xf numFmtId="43" fontId="0" fillId="7" borderId="30" xfId="5" applyFont="1" applyFill="1" applyBorder="1" applyAlignment="1" applyProtection="1">
      <alignment horizontal="center" vertical="center"/>
      <protection locked="0"/>
    </xf>
    <xf numFmtId="43" fontId="0" fillId="3" borderId="107" xfId="5" applyFont="1" applyFill="1" applyBorder="1" applyAlignment="1" applyProtection="1">
      <alignment horizontal="right"/>
    </xf>
    <xf numFmtId="43" fontId="0" fillId="3" borderId="129" xfId="5" applyFont="1" applyFill="1" applyBorder="1" applyAlignment="1" applyProtection="1">
      <alignment horizontal="right"/>
    </xf>
    <xf numFmtId="43" fontId="0" fillId="3" borderId="34" xfId="5" applyFont="1" applyFill="1" applyBorder="1" applyAlignment="1" applyProtection="1">
      <alignment horizontal="right"/>
    </xf>
    <xf numFmtId="43" fontId="0" fillId="16" borderId="15" xfId="5" applyFont="1" applyFill="1" applyBorder="1" applyAlignment="1" applyProtection="1">
      <alignment vertical="center"/>
    </xf>
    <xf numFmtId="0" fontId="5" fillId="8" borderId="16" xfId="0" applyFont="1" applyFill="1" applyBorder="1" applyAlignment="1">
      <alignment vertical="center" wrapText="1"/>
    </xf>
    <xf numFmtId="0" fontId="0" fillId="0" borderId="125" xfId="0" applyBorder="1" applyAlignment="1">
      <alignment vertical="center" wrapText="1"/>
    </xf>
    <xf numFmtId="43" fontId="0" fillId="10" borderId="160" xfId="5" applyFont="1" applyFill="1" applyBorder="1" applyAlignment="1" applyProtection="1">
      <alignment horizontal="right"/>
      <protection locked="0"/>
    </xf>
    <xf numFmtId="43" fontId="0" fillId="10" borderId="161" xfId="5" applyFont="1" applyFill="1" applyBorder="1" applyAlignment="1" applyProtection="1">
      <alignment horizontal="right"/>
      <protection locked="0"/>
    </xf>
    <xf numFmtId="43" fontId="0" fillId="10" borderId="162" xfId="5" applyFont="1" applyFill="1" applyBorder="1" applyAlignment="1" applyProtection="1">
      <alignment horizontal="right"/>
      <protection locked="0"/>
    </xf>
    <xf numFmtId="43" fontId="0" fillId="9" borderId="19" xfId="5" applyFont="1" applyFill="1" applyBorder="1" applyAlignment="1" applyProtection="1">
      <alignment horizontal="center" vertical="center"/>
      <protection locked="0"/>
    </xf>
    <xf numFmtId="43" fontId="0" fillId="9" borderId="20" xfId="5" applyFont="1" applyFill="1" applyBorder="1" applyAlignment="1" applyProtection="1">
      <alignment horizontal="center" vertical="center"/>
      <protection locked="0"/>
    </xf>
    <xf numFmtId="43" fontId="0" fillId="9" borderId="163" xfId="5" applyFont="1" applyFill="1" applyBorder="1" applyAlignment="1" applyProtection="1">
      <alignment horizontal="center" vertical="center"/>
      <protection locked="0"/>
    </xf>
    <xf numFmtId="43" fontId="0" fillId="9" borderId="65" xfId="5" applyFont="1" applyFill="1" applyBorder="1" applyAlignment="1" applyProtection="1">
      <alignment horizontal="center" vertical="center"/>
      <protection locked="0"/>
    </xf>
    <xf numFmtId="43" fontId="0" fillId="9" borderId="27" xfId="5" applyFont="1" applyFill="1" applyBorder="1" applyAlignment="1" applyProtection="1">
      <alignment horizontal="center" vertical="center"/>
      <protection locked="0"/>
    </xf>
    <xf numFmtId="43" fontId="0" fillId="9" borderId="156" xfId="5" applyFont="1" applyFill="1" applyBorder="1" applyAlignment="1" applyProtection="1">
      <alignment horizontal="center" vertical="center"/>
      <protection locked="0"/>
    </xf>
    <xf numFmtId="0" fontId="5" fillId="8" borderId="56" xfId="0" applyFont="1" applyFill="1" applyBorder="1" applyAlignment="1">
      <alignment horizontal="center" vertical="center" wrapText="1"/>
    </xf>
    <xf numFmtId="43" fontId="5" fillId="8" borderId="113" xfId="5" applyFont="1" applyFill="1" applyBorder="1" applyAlignment="1">
      <alignment horizontal="center" vertical="center" wrapText="1"/>
    </xf>
    <xf numFmtId="43" fontId="5" fillId="8" borderId="56" xfId="5" applyFont="1" applyFill="1" applyBorder="1" applyAlignment="1">
      <alignment horizontal="center" vertical="center" wrapText="1"/>
    </xf>
    <xf numFmtId="43" fontId="0" fillId="8" borderId="56" xfId="5" applyFont="1" applyFill="1" applyBorder="1" applyAlignment="1">
      <alignment horizontal="center" vertical="center" wrapText="1"/>
    </xf>
    <xf numFmtId="43" fontId="5" fillId="8" borderId="112" xfId="5" applyFont="1" applyFill="1" applyBorder="1" applyAlignment="1">
      <alignment horizontal="center" vertical="center" wrapText="1"/>
    </xf>
    <xf numFmtId="43" fontId="0" fillId="10" borderId="65" xfId="5" applyFont="1" applyFill="1" applyBorder="1" applyAlignment="1" applyProtection="1">
      <alignment vertical="center"/>
      <protection locked="0"/>
    </xf>
    <xf numFmtId="43" fontId="0" fillId="10" borderId="27" xfId="5" applyFont="1" applyFill="1" applyBorder="1" applyAlignment="1" applyProtection="1">
      <alignment vertical="center"/>
      <protection locked="0"/>
    </xf>
    <xf numFmtId="43" fontId="0" fillId="10" borderId="156" xfId="5" applyFont="1" applyFill="1" applyBorder="1" applyAlignment="1" applyProtection="1">
      <alignment vertical="center"/>
      <protection locked="0"/>
    </xf>
    <xf numFmtId="0" fontId="1" fillId="9" borderId="16" xfId="0" applyFont="1" applyFill="1" applyBorder="1" applyAlignment="1" applyProtection="1">
      <alignment horizontal="right" vertical="center"/>
      <protection locked="0"/>
    </xf>
    <xf numFmtId="0" fontId="1" fillId="9" borderId="120" xfId="0" applyFont="1" applyFill="1" applyBorder="1" applyAlignment="1" applyProtection="1">
      <alignment horizontal="right" vertical="center"/>
      <protection locked="0"/>
    </xf>
    <xf numFmtId="43" fontId="0" fillId="7" borderId="80" xfId="5" applyFont="1" applyFill="1" applyBorder="1" applyAlignment="1" applyProtection="1">
      <alignment horizontal="center" vertical="center"/>
      <protection locked="0"/>
    </xf>
    <xf numFmtId="43" fontId="0" fillId="7" borderId="15" xfId="5" applyFont="1" applyFill="1" applyBorder="1" applyAlignment="1" applyProtection="1">
      <alignment horizontal="center" vertical="center"/>
      <protection locked="0"/>
    </xf>
    <xf numFmtId="0" fontId="0" fillId="8" borderId="117" xfId="0" applyFill="1" applyBorder="1" applyAlignment="1" applyProtection="1">
      <alignment horizontal="center"/>
      <protection locked="0"/>
    </xf>
    <xf numFmtId="0" fontId="0" fillId="8" borderId="72" xfId="0" applyFill="1" applyBorder="1" applyAlignment="1" applyProtection="1">
      <alignment horizontal="center"/>
      <protection locked="0"/>
    </xf>
    <xf numFmtId="0" fontId="0" fillId="8" borderId="73" xfId="0" applyFill="1" applyBorder="1" applyAlignment="1" applyProtection="1">
      <alignment horizontal="center"/>
      <protection locked="0"/>
    </xf>
    <xf numFmtId="0" fontId="0" fillId="8" borderId="89" xfId="0" applyFill="1" applyBorder="1" applyAlignment="1" applyProtection="1">
      <alignment horizontal="center" wrapText="1"/>
      <protection locked="0"/>
    </xf>
    <xf numFmtId="0" fontId="0" fillId="8" borderId="95" xfId="0" applyFill="1" applyBorder="1" applyAlignment="1" applyProtection="1">
      <alignment horizontal="center" wrapText="1"/>
      <protection locked="0"/>
    </xf>
    <xf numFmtId="0" fontId="0" fillId="8" borderId="109" xfId="0" applyFill="1" applyBorder="1" applyAlignment="1" applyProtection="1">
      <alignment horizontal="center" vertical="center" wrapText="1"/>
      <protection locked="0"/>
    </xf>
    <xf numFmtId="0" fontId="0" fillId="0" borderId="92" xfId="0" applyBorder="1" applyAlignment="1" applyProtection="1">
      <alignment horizontal="center" vertical="center" wrapText="1"/>
      <protection locked="0"/>
    </xf>
    <xf numFmtId="0" fontId="0" fillId="8" borderId="110" xfId="0" applyFill="1" applyBorder="1" applyAlignment="1" applyProtection="1">
      <alignment horizontal="center" vertical="center" wrapText="1"/>
      <protection locked="0"/>
    </xf>
    <xf numFmtId="0" fontId="0" fillId="8" borderId="175" xfId="0" applyFill="1" applyBorder="1" applyAlignment="1" applyProtection="1">
      <alignment horizontal="center" vertical="center" wrapText="1"/>
      <protection locked="0"/>
    </xf>
    <xf numFmtId="0" fontId="1" fillId="3" borderId="111" xfId="0" applyFont="1" applyFill="1" applyBorder="1" applyAlignment="1" applyProtection="1">
      <alignment horizontal="right"/>
      <protection locked="0"/>
    </xf>
    <xf numFmtId="0" fontId="0" fillId="0" borderId="77" xfId="0" applyBorder="1" applyAlignment="1" applyProtection="1">
      <protection locked="0"/>
    </xf>
    <xf numFmtId="0" fontId="0" fillId="0" borderId="1" xfId="0" applyBorder="1" applyAlignment="1" applyProtection="1">
      <protection locked="0"/>
    </xf>
    <xf numFmtId="0" fontId="0" fillId="0" borderId="90" xfId="0" applyBorder="1" applyAlignment="1" applyProtection="1">
      <protection locked="0"/>
    </xf>
    <xf numFmtId="0" fontId="0" fillId="0" borderId="3" xfId="0" applyBorder="1" applyAlignment="1" applyProtection="1">
      <protection locked="0"/>
    </xf>
    <xf numFmtId="0" fontId="0" fillId="8" borderId="117" xfId="0" applyFill="1" applyBorder="1" applyAlignment="1" applyProtection="1">
      <alignment horizontal="center" vertical="center"/>
      <protection locked="0"/>
    </xf>
    <xf numFmtId="0" fontId="0" fillId="8" borderId="72" xfId="0" applyFill="1" applyBorder="1" applyAlignment="1" applyProtection="1">
      <alignment horizontal="center" vertical="center"/>
      <protection locked="0"/>
    </xf>
    <xf numFmtId="0" fontId="0" fillId="8" borderId="73" xfId="0" applyFill="1"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right" vertical="center"/>
      <protection locked="0"/>
    </xf>
    <xf numFmtId="0" fontId="5" fillId="8" borderId="109" xfId="0" applyFont="1" applyFill="1" applyBorder="1" applyAlignment="1" applyProtection="1">
      <alignment vertical="center"/>
      <protection locked="0"/>
    </xf>
    <xf numFmtId="0" fontId="5" fillId="0" borderId="125" xfId="0" applyFont="1" applyBorder="1" applyAlignment="1" applyProtection="1">
      <alignment vertical="center"/>
      <protection locked="0"/>
    </xf>
    <xf numFmtId="0" fontId="1" fillId="0" borderId="32" xfId="0" applyFont="1" applyBorder="1" applyAlignment="1" applyProtection="1">
      <alignment horizontal="right" vertical="center" wrapText="1"/>
      <protection locked="0"/>
    </xf>
    <xf numFmtId="0" fontId="1" fillId="0" borderId="0" xfId="0" applyFont="1" applyAlignment="1" applyProtection="1">
      <alignment horizontal="right" vertical="center" wrapText="1"/>
      <protection locked="0"/>
    </xf>
    <xf numFmtId="0" fontId="5" fillId="3" borderId="89" xfId="0" applyFont="1" applyFill="1" applyBorder="1" applyAlignment="1">
      <alignment horizontal="right"/>
    </xf>
    <xf numFmtId="0" fontId="5" fillId="3" borderId="95" xfId="0" applyFont="1" applyFill="1" applyBorder="1" applyAlignment="1">
      <alignment horizontal="right"/>
    </xf>
    <xf numFmtId="0" fontId="5" fillId="8" borderId="184" xfId="0" applyFont="1" applyFill="1" applyBorder="1" applyAlignment="1" applyProtection="1">
      <alignment horizontal="center" vertical="center" wrapText="1"/>
      <protection locked="0"/>
    </xf>
    <xf numFmtId="0" fontId="5" fillId="8" borderId="185" xfId="0" applyFont="1" applyFill="1" applyBorder="1" applyAlignment="1" applyProtection="1">
      <alignment horizontal="center" vertical="center" wrapText="1"/>
      <protection locked="0"/>
    </xf>
    <xf numFmtId="0" fontId="5" fillId="8" borderId="186" xfId="0" applyFont="1" applyFill="1" applyBorder="1" applyAlignment="1" applyProtection="1">
      <alignment horizontal="center" vertical="center" wrapText="1"/>
      <protection locked="0"/>
    </xf>
    <xf numFmtId="0" fontId="2" fillId="18" borderId="208" xfId="67" applyFont="1" applyFill="1" applyBorder="1" applyAlignment="1">
      <alignment horizontal="left"/>
    </xf>
    <xf numFmtId="0" fontId="2" fillId="18" borderId="206" xfId="67" applyFont="1" applyFill="1" applyBorder="1" applyAlignment="1">
      <alignment horizontal="left"/>
    </xf>
    <xf numFmtId="0" fontId="2" fillId="18" borderId="207" xfId="67" applyFont="1" applyFill="1" applyBorder="1" applyAlignment="1">
      <alignment horizontal="left"/>
    </xf>
    <xf numFmtId="0" fontId="1" fillId="0" borderId="0" xfId="66" applyAlignment="1">
      <alignment horizontal="left" vertical="center" wrapText="1"/>
    </xf>
    <xf numFmtId="0" fontId="57" fillId="18" borderId="89" xfId="67" applyFont="1" applyFill="1" applyBorder="1" applyAlignment="1">
      <alignment horizontal="left"/>
    </xf>
    <xf numFmtId="0" fontId="57" fillId="18" borderId="95" xfId="67" applyFont="1" applyFill="1" applyBorder="1" applyAlignment="1">
      <alignment horizontal="left"/>
    </xf>
    <xf numFmtId="0" fontId="57" fillId="18" borderId="46" xfId="67" applyFont="1" applyFill="1" applyBorder="1" applyAlignment="1">
      <alignment horizontal="left"/>
    </xf>
    <xf numFmtId="0" fontId="57" fillId="18" borderId="208" xfId="67" applyFont="1" applyFill="1" applyBorder="1" applyAlignment="1">
      <alignment horizontal="left"/>
    </xf>
    <xf numFmtId="0" fontId="57" fillId="18" borderId="207" xfId="67" applyFont="1" applyFill="1" applyBorder="1" applyAlignment="1">
      <alignment horizontal="left"/>
    </xf>
    <xf numFmtId="0" fontId="57" fillId="18" borderId="206" xfId="67" applyFont="1" applyFill="1" applyBorder="1" applyAlignment="1">
      <alignment horizontal="left"/>
    </xf>
  </cellXfs>
  <cellStyles count="69">
    <cellStyle name="2x indented GHG Textfiels" xfId="1" xr:uid="{00000000-0005-0000-0000-000000000000}"/>
    <cellStyle name="5x indented GHG Textfiels" xfId="2" xr:uid="{00000000-0005-0000-0000-000001000000}"/>
    <cellStyle name="Bold GHG Numbers (0.00)" xfId="3" xr:uid="{00000000-0005-0000-0000-000002000000}"/>
    <cellStyle name="Column heading" xfId="4" xr:uid="{00000000-0005-0000-0000-000003000000}"/>
    <cellStyle name="Comma" xfId="5" builtinId="3"/>
    <cellStyle name="Comma 2" xfId="68" xr:uid="{F9365815-9A2C-484A-84A4-2220468361C1}"/>
    <cellStyle name="Comma0" xfId="6" xr:uid="{00000000-0005-0000-0000-000005000000}"/>
    <cellStyle name="Corner heading" xfId="7" xr:uid="{00000000-0005-0000-0000-000006000000}"/>
    <cellStyle name="Currency0" xfId="8" xr:uid="{00000000-0005-0000-0000-000007000000}"/>
    <cellStyle name="Data" xfId="9" xr:uid="{00000000-0005-0000-0000-000008000000}"/>
    <cellStyle name="Data no deci" xfId="10" xr:uid="{00000000-0005-0000-0000-000009000000}"/>
    <cellStyle name="Data Superscript" xfId="11" xr:uid="{00000000-0005-0000-0000-00000A000000}"/>
    <cellStyle name="Data_1-1A-Regular" xfId="12" xr:uid="{00000000-0005-0000-0000-00000B000000}"/>
    <cellStyle name="Data-one deci" xfId="13" xr:uid="{00000000-0005-0000-0000-00000C000000}"/>
    <cellStyle name="Date" xfId="14" xr:uid="{00000000-0005-0000-0000-00000D000000}"/>
    <cellStyle name="Fixed" xfId="15" xr:uid="{00000000-0005-0000-0000-00000E000000}"/>
    <cellStyle name="Heading 1" xfId="16" builtinId="16" customBuiltin="1"/>
    <cellStyle name="Heading 2" xfId="17" builtinId="17" customBuiltin="1"/>
    <cellStyle name="Headline" xfId="18" xr:uid="{00000000-0005-0000-0000-000011000000}"/>
    <cellStyle name="Hed Side" xfId="19" xr:uid="{00000000-0005-0000-0000-000012000000}"/>
    <cellStyle name="Hed Side bold" xfId="20" xr:uid="{00000000-0005-0000-0000-000013000000}"/>
    <cellStyle name="Hed Side Indent" xfId="21" xr:uid="{00000000-0005-0000-0000-000014000000}"/>
    <cellStyle name="Hed Side Regular" xfId="22" xr:uid="{00000000-0005-0000-0000-000015000000}"/>
    <cellStyle name="Hed Side_1-1A-Regular" xfId="23" xr:uid="{00000000-0005-0000-0000-000016000000}"/>
    <cellStyle name="Hed Top" xfId="24" xr:uid="{00000000-0005-0000-0000-000017000000}"/>
    <cellStyle name="Hed Top - SECTION" xfId="25" xr:uid="{00000000-0005-0000-0000-000018000000}"/>
    <cellStyle name="Hed Top_3-new4" xfId="26" xr:uid="{00000000-0005-0000-0000-000019000000}"/>
    <cellStyle name="Hyperlink 2" xfId="65" xr:uid="{23004F38-A415-442B-8374-39F645E308C2}"/>
    <cellStyle name="Milliers [0]_Annex_comb_guideline_version4-2" xfId="27" xr:uid="{00000000-0005-0000-0000-00001A000000}"/>
    <cellStyle name="Milliers_Annex_comb_guideline_version4-2" xfId="28" xr:uid="{00000000-0005-0000-0000-00001B000000}"/>
    <cellStyle name="Monétaire [0]_Annex comb guideline 4-7" xfId="29" xr:uid="{00000000-0005-0000-0000-00001C000000}"/>
    <cellStyle name="Monétaire_Annex_comb_guideline_version4-2" xfId="30" xr:uid="{00000000-0005-0000-0000-00001D000000}"/>
    <cellStyle name="Normal" xfId="0" builtinId="0"/>
    <cellStyle name="Normal 2" xfId="64" xr:uid="{99720D62-3802-464F-87BA-D12D51571859}"/>
    <cellStyle name="Normal 3" xfId="66" xr:uid="{A39CF4EC-1B15-40BB-8AC0-4FE041B57C1E}"/>
    <cellStyle name="Normal 3 2" xfId="67" xr:uid="{3B8194DD-B05F-46C7-A2C5-F76B52D908E6}"/>
    <cellStyle name="Normal GHG Numbers (0.00)" xfId="31" xr:uid="{00000000-0005-0000-0000-00001F000000}"/>
    <cellStyle name="Normal GHG Textfiels Bold" xfId="32" xr:uid="{00000000-0005-0000-0000-000020000000}"/>
    <cellStyle name="Normal GHG whole table" xfId="33" xr:uid="{00000000-0005-0000-0000-000021000000}"/>
    <cellStyle name="Normal GHG-Shade" xfId="34" xr:uid="{00000000-0005-0000-0000-000022000000}"/>
    <cellStyle name="Pattern" xfId="35" xr:uid="{00000000-0005-0000-0000-000023000000}"/>
    <cellStyle name="Percent" xfId="36" builtinId="5"/>
    <cellStyle name="Reference" xfId="37" xr:uid="{00000000-0005-0000-0000-000025000000}"/>
    <cellStyle name="Row heading" xfId="38" xr:uid="{00000000-0005-0000-0000-000026000000}"/>
    <cellStyle name="Source Hed" xfId="39" xr:uid="{00000000-0005-0000-0000-000027000000}"/>
    <cellStyle name="Source Letter" xfId="40" xr:uid="{00000000-0005-0000-0000-000028000000}"/>
    <cellStyle name="Source Superscript" xfId="41" xr:uid="{00000000-0005-0000-0000-000029000000}"/>
    <cellStyle name="Source Text" xfId="42" xr:uid="{00000000-0005-0000-0000-00002A000000}"/>
    <cellStyle name="Standard_CRF Inventar" xfId="43" xr:uid="{00000000-0005-0000-0000-00002B000000}"/>
    <cellStyle name="State" xfId="44" xr:uid="{00000000-0005-0000-0000-00002C000000}"/>
    <cellStyle name="Superscript" xfId="45" xr:uid="{00000000-0005-0000-0000-00002D000000}"/>
    <cellStyle name="Superscript- regular" xfId="46" xr:uid="{00000000-0005-0000-0000-00002E000000}"/>
    <cellStyle name="Superscript_1-1A-Regular" xfId="47" xr:uid="{00000000-0005-0000-0000-00002F000000}"/>
    <cellStyle name="Table Data" xfId="48" xr:uid="{00000000-0005-0000-0000-000030000000}"/>
    <cellStyle name="Table Head Top" xfId="49" xr:uid="{00000000-0005-0000-0000-000031000000}"/>
    <cellStyle name="Table Hed Side" xfId="50" xr:uid="{00000000-0005-0000-0000-000032000000}"/>
    <cellStyle name="Table Title" xfId="51" xr:uid="{00000000-0005-0000-0000-000033000000}"/>
    <cellStyle name="Title Text" xfId="52" xr:uid="{00000000-0005-0000-0000-000034000000}"/>
    <cellStyle name="Title Text 1" xfId="53" xr:uid="{00000000-0005-0000-0000-000035000000}"/>
    <cellStyle name="Title Text 2" xfId="54" xr:uid="{00000000-0005-0000-0000-000036000000}"/>
    <cellStyle name="Title-1" xfId="55" xr:uid="{00000000-0005-0000-0000-000037000000}"/>
    <cellStyle name="Title-2" xfId="56" xr:uid="{00000000-0005-0000-0000-000038000000}"/>
    <cellStyle name="Title-3" xfId="57" xr:uid="{00000000-0005-0000-0000-000039000000}"/>
    <cellStyle name="Total" xfId="58" builtinId="25" customBuiltin="1"/>
    <cellStyle name="Wrap" xfId="59" xr:uid="{00000000-0005-0000-0000-00003B000000}"/>
    <cellStyle name="Wrap Bold" xfId="60" xr:uid="{00000000-0005-0000-0000-00003C000000}"/>
    <cellStyle name="Wrap Title" xfId="61" xr:uid="{00000000-0005-0000-0000-00003D000000}"/>
    <cellStyle name="Wrap_NTS99-~11" xfId="62" xr:uid="{00000000-0005-0000-0000-00003E000000}"/>
    <cellStyle name="標準_CRF1999" xfId="63" xr:uid="{00000000-0005-0000-0000-00003F000000}"/>
  </cellStyles>
  <dxfs count="1">
    <dxf>
      <font>
        <condense val="0"/>
        <extend val="0"/>
        <color indexed="22"/>
      </font>
    </dxf>
  </dxfs>
  <tableStyles count="0" defaultTableStyle="TableStyleMedium2" defaultPivotStyle="PivotStyleLight16"/>
  <colors>
    <mruColors>
      <color rgb="FF00C6B9"/>
      <color rgb="FFFFFF99"/>
      <color rgb="FF0006FA"/>
      <color rgb="FFFFCC99"/>
      <color rgb="FFC0C0C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361287</xdr:colOff>
      <xdr:row>0</xdr:row>
      <xdr:rowOff>57318</xdr:rowOff>
    </xdr:from>
    <xdr:to>
      <xdr:col>1</xdr:col>
      <xdr:colOff>2915892</xdr:colOff>
      <xdr:row>5</xdr:row>
      <xdr:rowOff>21504</xdr:rowOff>
    </xdr:to>
    <xdr:pic>
      <xdr:nvPicPr>
        <xdr:cNvPr id="2" name="Picture 1">
          <a:extLst>
            <a:ext uri="{FF2B5EF4-FFF2-40B4-BE49-F238E27FC236}">
              <a16:creationId xmlns:a16="http://schemas.microsoft.com/office/drawing/2014/main" id="{CEE1A502-4432-4C1D-8A12-D5427969896A}"/>
            </a:ext>
          </a:extLst>
        </xdr:cNvPr>
        <xdr:cNvPicPr>
          <a:picLocks noChangeAspect="1"/>
        </xdr:cNvPicPr>
      </xdr:nvPicPr>
      <xdr:blipFill>
        <a:blip xmlns:r="http://schemas.openxmlformats.org/officeDocument/2006/relationships" r:embed="rId1"/>
        <a:stretch>
          <a:fillRect/>
        </a:stretch>
      </xdr:blipFill>
      <xdr:spPr>
        <a:xfrm>
          <a:off x="361287" y="57318"/>
          <a:ext cx="2916555" cy="7738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70486</xdr:rowOff>
    </xdr:from>
    <xdr:to>
      <xdr:col>16</xdr:col>
      <xdr:colOff>390524</xdr:colOff>
      <xdr:row>43</xdr:row>
      <xdr:rowOff>95251</xdr:rowOff>
    </xdr:to>
    <xdr:sp macro="" textlink="">
      <xdr:nvSpPr>
        <xdr:cNvPr id="2049" name="Text Box 1">
          <a:extLst>
            <a:ext uri="{FF2B5EF4-FFF2-40B4-BE49-F238E27FC236}">
              <a16:creationId xmlns:a16="http://schemas.microsoft.com/office/drawing/2014/main" id="{4086E0E2-3668-04AF-BE99-4E7F92D31109}"/>
            </a:ext>
          </a:extLst>
        </xdr:cNvPr>
        <xdr:cNvSpPr txBox="1">
          <a:spLocks noChangeArrowheads="1"/>
        </xdr:cNvSpPr>
      </xdr:nvSpPr>
      <xdr:spPr bwMode="auto">
        <a:xfrm>
          <a:off x="76199" y="70486"/>
          <a:ext cx="10067925" cy="698754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en-US" sz="1200" b="1" i="0" u="none" strike="noStrike" baseline="0">
              <a:solidFill>
                <a:srgbClr val="000000"/>
              </a:solidFill>
              <a:latin typeface="Times New Roman"/>
              <a:cs typeface="Times New Roman"/>
            </a:rPr>
            <a:t>Introduction</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This guideline is written for plant managers and site personnel to facilitate the measurement and reporting of greenhouse gas emissions resulting from Iron and Steel manufacturing. A step-by-step approach is presented to cover every phase of the calculation process from data gathering to reporting. This sector guideline should be applied by the industries whose operations involve Iron and Steel production. This document is to be used in conjunction with two additional documents:</a:t>
          </a:r>
        </a:p>
        <a:p>
          <a:pPr algn="l" rtl="0">
            <a:defRPr sz="1000"/>
          </a:pPr>
          <a:r>
            <a:rPr lang="en-US" sz="1200" b="0" i="0" u="none" strike="noStrike" baseline="0">
              <a:solidFill>
                <a:srgbClr val="000000"/>
              </a:solidFill>
              <a:latin typeface="Times New Roman"/>
              <a:cs typeface="Times New Roman"/>
            </a:rPr>
            <a:t>1) ‘Guide to calculation worksheets – Calculating GHG emissions from the production of Iron and Steel </a:t>
          </a:r>
        </a:p>
        <a:p>
          <a:pPr algn="l" rtl="0">
            <a:defRPr sz="1000"/>
          </a:pPr>
          <a:r>
            <a:rPr lang="en-US" sz="1200" b="0" i="0" u="none" strike="noStrike" baseline="0">
              <a:solidFill>
                <a:srgbClr val="000000"/>
              </a:solidFill>
              <a:latin typeface="Times New Roman"/>
              <a:cs typeface="Times New Roman"/>
            </a:rPr>
            <a:t>and</a:t>
          </a:r>
        </a:p>
        <a:p>
          <a:pPr algn="l" rtl="0">
            <a:defRPr sz="1000"/>
          </a:pPr>
          <a:r>
            <a:rPr lang="en-US" sz="1200" b="0" i="0" u="none" strike="noStrike" baseline="0">
              <a:solidFill>
                <a:srgbClr val="000000"/>
              </a:solidFill>
              <a:latin typeface="Times New Roman"/>
              <a:cs typeface="Times New Roman"/>
            </a:rPr>
            <a:t>2) ‘GHG Protocol Corporate Accounting and Reporting Standard’. </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Brief Overview of Methodologies</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This tool offers a series of spreadsheets that allow the calculation of the CO</a:t>
          </a:r>
          <a:r>
            <a:rPr lang="en-US" sz="1200" b="0" i="0" u="none" strike="noStrike" baseline="-25000">
              <a:solidFill>
                <a:srgbClr val="000000"/>
              </a:solidFill>
              <a:latin typeface="Times New Roman"/>
              <a:cs typeface="Times New Roman"/>
            </a:rPr>
            <a:t>2 </a:t>
          </a:r>
          <a:r>
            <a:rPr lang="en-US" sz="1200" b="0" i="0" u="none" strike="noStrike" baseline="0">
              <a:solidFill>
                <a:srgbClr val="000000"/>
              </a:solidFill>
              <a:latin typeface="Times New Roman"/>
              <a:cs typeface="Times New Roman"/>
            </a:rPr>
            <a:t>and CH</a:t>
          </a:r>
          <a:r>
            <a:rPr lang="en-US" sz="1200" b="0" i="0" u="none" strike="noStrike" baseline="-25000">
              <a:solidFill>
                <a:srgbClr val="000000"/>
              </a:solidFill>
              <a:latin typeface="Times New Roman"/>
              <a:cs typeface="Times New Roman"/>
            </a:rPr>
            <a:t>4</a:t>
          </a:r>
          <a:r>
            <a:rPr lang="en-US" sz="1200" b="0" i="0" u="none" strike="noStrike" baseline="0">
              <a:solidFill>
                <a:srgbClr val="000000"/>
              </a:solidFill>
              <a:latin typeface="Times New Roman"/>
              <a:cs typeface="Times New Roman"/>
            </a:rPr>
            <a:t> emissions from the principal GHG sources associated with Iron and Steel production. These sources include stationary combustion (including flares), offsite and onsite metallurgical coke production, the production of sinter, Direct Reduced Iron (DRI) and of non-direct reduced Iron and Steel, and also of onsite and offsite lime production. This tool is arranged in the following order:</a:t>
          </a: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Tab 1: Introduction</a:t>
          </a:r>
        </a:p>
        <a:p>
          <a:pPr algn="l" rtl="0">
            <a:defRPr sz="1000"/>
          </a:pPr>
          <a:r>
            <a:rPr lang="en-US" sz="1200" b="0" i="0" u="none" strike="noStrike" baseline="0">
              <a:solidFill>
                <a:srgbClr val="000000"/>
              </a:solidFill>
              <a:latin typeface="Times New Roman"/>
              <a:cs typeface="Times New Roman"/>
            </a:rPr>
            <a:t>Tab 2: Stationary Combustion CO</a:t>
          </a:r>
          <a:r>
            <a:rPr lang="en-US" sz="1200" b="0" i="0" u="none" strike="noStrike" baseline="-25000">
              <a:solidFill>
                <a:srgbClr val="000000"/>
              </a:solidFill>
              <a:latin typeface="Times New Roman"/>
              <a:cs typeface="Times New Roman"/>
            </a:rPr>
            <a:t>2</a:t>
          </a:r>
          <a:r>
            <a:rPr lang="en-US" sz="1200" b="0" i="0" u="none" strike="noStrike" baseline="0">
              <a:solidFill>
                <a:srgbClr val="000000"/>
              </a:solidFill>
              <a:latin typeface="Times New Roman"/>
              <a:cs typeface="Times New Roman"/>
            </a:rPr>
            <a:t>. Calculating CO</a:t>
          </a:r>
          <a:r>
            <a:rPr lang="en-US" sz="1200" b="0" i="0" u="none" strike="noStrike" baseline="-25000">
              <a:solidFill>
                <a:srgbClr val="000000"/>
              </a:solidFill>
              <a:latin typeface="Times New Roman"/>
              <a:cs typeface="Times New Roman"/>
            </a:rPr>
            <a:t>2</a:t>
          </a:r>
          <a:r>
            <a:rPr lang="en-US" sz="1200" b="0" i="0" u="none" strike="noStrike" baseline="0">
              <a:solidFill>
                <a:srgbClr val="000000"/>
              </a:solidFill>
              <a:latin typeface="Times New Roman"/>
              <a:cs typeface="Times New Roman"/>
            </a:rPr>
            <a:t> emissions from stationary combustion (Worksheet 1)</a:t>
          </a:r>
        </a:p>
        <a:p>
          <a:pPr algn="l" rtl="0">
            <a:defRPr sz="1000"/>
          </a:pPr>
          <a:r>
            <a:rPr lang="en-US" sz="1200" b="0" i="0" u="none" strike="noStrike" baseline="0">
              <a:solidFill>
                <a:srgbClr val="000000"/>
              </a:solidFill>
              <a:latin typeface="Times New Roman"/>
              <a:cs typeface="Times New Roman"/>
            </a:rPr>
            <a:t>Tab 3: </a:t>
          </a:r>
          <a:r>
            <a:rPr lang="en-US" sz="1200" b="1" i="0" u="none" strike="noStrike" baseline="0">
              <a:solidFill>
                <a:srgbClr val="000000"/>
              </a:solidFill>
              <a:latin typeface="Times New Roman"/>
              <a:cs typeface="Times New Roman"/>
            </a:rPr>
            <a:t>Appendix A</a:t>
          </a:r>
          <a:r>
            <a:rPr lang="en-US" sz="1200" b="0" i="0" u="none" strike="noStrike" baseline="0">
              <a:solidFill>
                <a:srgbClr val="000000"/>
              </a:solidFill>
              <a:latin typeface="Times New Roman"/>
              <a:cs typeface="Times New Roman"/>
            </a:rPr>
            <a:t>. Default values for fuel carbon contents and heating values</a:t>
          </a:r>
        </a:p>
        <a:p>
          <a:pPr algn="l" rtl="0">
            <a:defRPr sz="1000"/>
          </a:pPr>
          <a:r>
            <a:rPr lang="en-US" sz="1200" b="0" i="0" u="none" strike="noStrike" baseline="0">
              <a:solidFill>
                <a:srgbClr val="000000"/>
              </a:solidFill>
              <a:latin typeface="Times New Roman"/>
              <a:cs typeface="Times New Roman"/>
            </a:rPr>
            <a:t>Tab 4: Non-CO</a:t>
          </a:r>
          <a:r>
            <a:rPr lang="en-US" sz="1200" b="0" i="0" u="none" strike="noStrike" baseline="-25000">
              <a:solidFill>
                <a:srgbClr val="000000"/>
              </a:solidFill>
              <a:latin typeface="Times New Roman"/>
              <a:cs typeface="Times New Roman"/>
            </a:rPr>
            <a:t>2</a:t>
          </a:r>
          <a:r>
            <a:rPr lang="en-US" sz="1200" b="0" i="0" u="none" strike="noStrike" baseline="0">
              <a:solidFill>
                <a:srgbClr val="000000"/>
              </a:solidFill>
              <a:latin typeface="Times New Roman"/>
              <a:cs typeface="Times New Roman"/>
            </a:rPr>
            <a:t> Stationary Combustion (Worksheet 2)</a:t>
          </a:r>
        </a:p>
        <a:p>
          <a:pPr algn="l" rtl="0">
            <a:defRPr sz="1000"/>
          </a:pPr>
          <a:r>
            <a:rPr lang="en-US" sz="1200" b="0" i="0" u="none" strike="noStrike" baseline="0">
              <a:solidFill>
                <a:srgbClr val="000000"/>
              </a:solidFill>
              <a:latin typeface="Times New Roman"/>
              <a:cs typeface="Times New Roman"/>
            </a:rPr>
            <a:t>Tab 5: </a:t>
          </a:r>
          <a:r>
            <a:rPr lang="en-US" sz="1200" b="1" i="0" u="none" strike="noStrike" baseline="0">
              <a:solidFill>
                <a:srgbClr val="000000"/>
              </a:solidFill>
              <a:latin typeface="Times New Roman"/>
              <a:cs typeface="Times New Roman"/>
            </a:rPr>
            <a:t>Appendix B</a:t>
          </a:r>
          <a:r>
            <a:rPr lang="en-US" sz="1200" b="0" i="0" u="none" strike="noStrike" baseline="0">
              <a:solidFill>
                <a:srgbClr val="000000"/>
              </a:solidFill>
              <a:latin typeface="Times New Roman"/>
              <a:cs typeface="Times New Roman"/>
            </a:rPr>
            <a:t>. Default N</a:t>
          </a:r>
          <a:r>
            <a:rPr lang="en-US" sz="1200" b="0" i="0" u="none" strike="noStrike" baseline="-25000">
              <a:solidFill>
                <a:srgbClr val="000000"/>
              </a:solidFill>
              <a:latin typeface="Times New Roman"/>
              <a:cs typeface="Times New Roman"/>
            </a:rPr>
            <a:t>2</a:t>
          </a:r>
          <a:r>
            <a:rPr lang="en-US" sz="1200" b="0" i="0" u="none" strike="noStrike" baseline="0">
              <a:solidFill>
                <a:srgbClr val="000000"/>
              </a:solidFill>
              <a:latin typeface="Times New Roman"/>
              <a:cs typeface="Times New Roman"/>
            </a:rPr>
            <a:t>O and CH</a:t>
          </a:r>
          <a:r>
            <a:rPr lang="en-US" sz="1200" b="0" i="0" u="none" strike="noStrike" baseline="-25000">
              <a:solidFill>
                <a:srgbClr val="000000"/>
              </a:solidFill>
              <a:latin typeface="Times New Roman"/>
              <a:cs typeface="Times New Roman"/>
            </a:rPr>
            <a:t>4</a:t>
          </a:r>
          <a:r>
            <a:rPr lang="en-US" sz="1200" b="0" i="0" u="none" strike="noStrike" baseline="0">
              <a:solidFill>
                <a:srgbClr val="000000"/>
              </a:solidFill>
              <a:latin typeface="Times New Roman"/>
              <a:cs typeface="Times New Roman"/>
            </a:rPr>
            <a:t> emission factors</a:t>
          </a:r>
        </a:p>
        <a:p>
          <a:pPr algn="l" rtl="0">
            <a:defRPr sz="1000"/>
          </a:pPr>
          <a:r>
            <a:rPr lang="en-US" sz="1200" b="0" i="0" u="none" strike="noStrike" baseline="0">
              <a:solidFill>
                <a:srgbClr val="000000"/>
              </a:solidFill>
              <a:latin typeface="Times New Roman"/>
              <a:cs typeface="Times New Roman"/>
            </a:rPr>
            <a:t>Tab 6. Onsite coke production (Worksheet 3). Calculating GHG emissions from onsite coke production</a:t>
          </a:r>
        </a:p>
        <a:p>
          <a:pPr algn="l" rtl="0">
            <a:defRPr sz="1000"/>
          </a:pPr>
          <a:r>
            <a:rPr lang="en-US" sz="1200" b="0" i="0" u="none" strike="noStrike" baseline="0">
              <a:solidFill>
                <a:srgbClr val="000000"/>
              </a:solidFill>
              <a:latin typeface="Times New Roman"/>
              <a:cs typeface="Times New Roman"/>
            </a:rPr>
            <a:t>Tab 7. Offsite coke production (Worksheet 4). Calculating GHG emissions from offsite coke production</a:t>
          </a:r>
        </a:p>
        <a:p>
          <a:pPr algn="l" rtl="0">
            <a:defRPr sz="1000"/>
          </a:pPr>
          <a:r>
            <a:rPr lang="en-US" sz="1200" b="0" i="0" u="none" strike="noStrike" baseline="0">
              <a:solidFill>
                <a:srgbClr val="000000"/>
              </a:solidFill>
              <a:latin typeface="Times New Roman"/>
              <a:cs typeface="Times New Roman"/>
            </a:rPr>
            <a:t>Tab 8. Flaring (Worksheet 5). CO</a:t>
          </a:r>
          <a:r>
            <a:rPr lang="en-US" sz="1200" b="0" i="0" u="none" strike="noStrike" baseline="-25000">
              <a:solidFill>
                <a:srgbClr val="000000"/>
              </a:solidFill>
              <a:latin typeface="Times New Roman"/>
              <a:cs typeface="Times New Roman"/>
            </a:rPr>
            <a:t>2 </a:t>
          </a:r>
          <a:r>
            <a:rPr lang="en-US" sz="1200" b="0" i="0" u="none" strike="noStrike" baseline="0">
              <a:solidFill>
                <a:srgbClr val="000000"/>
              </a:solidFill>
              <a:latin typeface="Times New Roman"/>
              <a:cs typeface="Times New Roman"/>
            </a:rPr>
            <a:t>and CH</a:t>
          </a:r>
          <a:r>
            <a:rPr lang="en-US" sz="1200" b="0" i="0" u="none" strike="noStrike" baseline="-25000">
              <a:solidFill>
                <a:srgbClr val="000000"/>
              </a:solidFill>
              <a:latin typeface="Times New Roman"/>
              <a:cs typeface="Times New Roman"/>
            </a:rPr>
            <a:t>4</a:t>
          </a:r>
          <a:r>
            <a:rPr lang="en-US" sz="1200" b="0" i="0" u="none" strike="noStrike" baseline="0">
              <a:solidFill>
                <a:srgbClr val="000000"/>
              </a:solidFill>
              <a:latin typeface="Times New Roman"/>
              <a:cs typeface="Times New Roman"/>
            </a:rPr>
            <a:t> emissions from flaring</a:t>
          </a:r>
        </a:p>
        <a:p>
          <a:pPr algn="l" rtl="0">
            <a:defRPr sz="1000"/>
          </a:pPr>
          <a:r>
            <a:rPr lang="en-US" sz="1200" b="0" i="0" u="none" strike="noStrike" baseline="0">
              <a:solidFill>
                <a:srgbClr val="000000"/>
              </a:solidFill>
              <a:latin typeface="Times New Roman"/>
              <a:cs typeface="Times New Roman"/>
            </a:rPr>
            <a:t>Tab 9. Sinter production (Worksheet 6). Calculating GHG emissions from sinter production</a:t>
          </a:r>
        </a:p>
        <a:p>
          <a:pPr algn="l" rtl="0">
            <a:defRPr sz="1000"/>
          </a:pPr>
          <a:r>
            <a:rPr lang="en-US" sz="1200" b="0" i="0" u="none" strike="noStrike" baseline="0">
              <a:solidFill>
                <a:srgbClr val="000000"/>
              </a:solidFill>
              <a:latin typeface="Times New Roman"/>
              <a:cs typeface="Times New Roman"/>
            </a:rPr>
            <a:t>Tab 10. DRI production (Worksheet 7). Calculating GHG emissions from Direct Reduced Iron (DRI) production</a:t>
          </a:r>
        </a:p>
        <a:p>
          <a:pPr algn="l" rtl="0">
            <a:defRPr sz="1000"/>
          </a:pPr>
          <a:r>
            <a:rPr lang="en-US" sz="1200" b="0" i="0" u="none" strike="noStrike" baseline="0">
              <a:solidFill>
                <a:srgbClr val="000000"/>
              </a:solidFill>
              <a:latin typeface="Times New Roman"/>
              <a:cs typeface="Times New Roman"/>
            </a:rPr>
            <a:t>Tab 11. Iron and Steel production (Worksheet 8). Calculating GHG emissions from Iron and Steel production</a:t>
          </a:r>
        </a:p>
        <a:p>
          <a:pPr algn="l" rtl="0">
            <a:defRPr sz="1000"/>
          </a:pPr>
          <a:r>
            <a:rPr lang="en-US" sz="1200" b="0" i="0" u="none" strike="noStrike" baseline="0">
              <a:solidFill>
                <a:srgbClr val="000000"/>
              </a:solidFill>
              <a:latin typeface="Times New Roman"/>
              <a:cs typeface="Times New Roman"/>
            </a:rPr>
            <a:t>Tab 12. </a:t>
          </a:r>
          <a:r>
            <a:rPr lang="en-US" sz="1200" b="1" i="0" u="none" strike="noStrike" baseline="0">
              <a:solidFill>
                <a:srgbClr val="000000"/>
              </a:solidFill>
              <a:latin typeface="Times New Roman"/>
              <a:cs typeface="Times New Roman"/>
            </a:rPr>
            <a:t>Appendix C</a:t>
          </a:r>
          <a:r>
            <a:rPr lang="en-US" sz="1200" b="0" i="0" u="none" strike="noStrike" baseline="0">
              <a:solidFill>
                <a:srgbClr val="000000"/>
              </a:solidFill>
              <a:latin typeface="Times New Roman"/>
              <a:cs typeface="Times New Roman"/>
            </a:rPr>
            <a:t>. Default carbon contents for process materials</a:t>
          </a:r>
        </a:p>
        <a:p>
          <a:pPr algn="l" rtl="0">
            <a:defRPr sz="1000"/>
          </a:pPr>
          <a:r>
            <a:rPr lang="en-US" sz="1200" b="0" i="0" u="none" strike="noStrike" baseline="0">
              <a:solidFill>
                <a:srgbClr val="000000"/>
              </a:solidFill>
              <a:latin typeface="Times New Roman"/>
              <a:cs typeface="Times New Roman"/>
            </a:rPr>
            <a:t>Tab 13. Onsite lime CO</a:t>
          </a:r>
          <a:r>
            <a:rPr lang="en-US" sz="1200" b="0" i="0" u="none" strike="noStrike" baseline="-25000">
              <a:solidFill>
                <a:srgbClr val="000000"/>
              </a:solidFill>
              <a:latin typeface="Times New Roman"/>
              <a:cs typeface="Times New Roman"/>
            </a:rPr>
            <a:t>2</a:t>
          </a:r>
          <a:r>
            <a:rPr lang="en-US" sz="1200" b="0" i="0" u="none" strike="noStrike" baseline="0">
              <a:solidFill>
                <a:srgbClr val="000000"/>
              </a:solidFill>
              <a:latin typeface="Times New Roman"/>
              <a:cs typeface="Times New Roman"/>
            </a:rPr>
            <a:t> (Worksheet 9). Calculating CO</a:t>
          </a:r>
          <a:r>
            <a:rPr lang="en-US" sz="1200" b="0" i="0" u="none" strike="noStrike" baseline="-25000">
              <a:solidFill>
                <a:srgbClr val="000000"/>
              </a:solidFill>
              <a:latin typeface="Times New Roman"/>
              <a:cs typeface="Times New Roman"/>
            </a:rPr>
            <a:t>2</a:t>
          </a:r>
          <a:r>
            <a:rPr lang="en-US" sz="1200" b="0" i="0" u="none" strike="noStrike" baseline="0">
              <a:solidFill>
                <a:srgbClr val="000000"/>
              </a:solidFill>
              <a:latin typeface="Times New Roman"/>
              <a:cs typeface="Times New Roman"/>
            </a:rPr>
            <a:t> emissions from onsite lime production</a:t>
          </a:r>
        </a:p>
        <a:p>
          <a:pPr algn="l" rtl="0">
            <a:defRPr sz="1000"/>
          </a:pPr>
          <a:r>
            <a:rPr lang="en-US" sz="1200" b="0" i="0" u="none" strike="noStrike" baseline="0">
              <a:solidFill>
                <a:srgbClr val="000000"/>
              </a:solidFill>
              <a:latin typeface="Times New Roman"/>
              <a:cs typeface="Times New Roman"/>
            </a:rPr>
            <a:t>Tab 14. Offsite lime CO2 (Worksheet 10). Calculating CO</a:t>
          </a:r>
          <a:r>
            <a:rPr lang="en-US" sz="1200" b="0" i="0" u="none" strike="noStrike" baseline="-25000">
              <a:solidFill>
                <a:srgbClr val="000000"/>
              </a:solidFill>
              <a:latin typeface="Times New Roman"/>
              <a:cs typeface="Times New Roman"/>
            </a:rPr>
            <a:t>2</a:t>
          </a:r>
          <a:r>
            <a:rPr lang="en-US" sz="1200" b="0" i="0" u="none" strike="noStrike" baseline="0">
              <a:solidFill>
                <a:srgbClr val="000000"/>
              </a:solidFill>
              <a:latin typeface="Times New Roman"/>
              <a:cs typeface="Times New Roman"/>
            </a:rPr>
            <a:t> emissions from offsite lime production</a:t>
          </a:r>
        </a:p>
        <a:p>
          <a:pPr algn="l" rtl="0">
            <a:defRPr sz="1000"/>
          </a:pPr>
          <a:r>
            <a:rPr lang="en-US" sz="1200" b="0" i="0" u="none" strike="noStrike" baseline="0">
              <a:solidFill>
                <a:sysClr val="windowText" lastClr="000000"/>
              </a:solidFill>
              <a:latin typeface="Times New Roman"/>
              <a:cs typeface="Times New Roman"/>
            </a:rPr>
            <a:t>Tab 15: </a:t>
          </a:r>
          <a:r>
            <a:rPr lang="en-US" sz="1200" b="1" i="0" u="none" strike="noStrike" baseline="0">
              <a:solidFill>
                <a:sysClr val="windowText" lastClr="000000"/>
              </a:solidFill>
              <a:latin typeface="Times New Roman"/>
              <a:cs typeface="Times New Roman"/>
            </a:rPr>
            <a:t>Appendix D</a:t>
          </a:r>
          <a:r>
            <a:rPr lang="en-US" sz="1200" b="0" i="0" u="none" strike="noStrike" baseline="0">
              <a:solidFill>
                <a:sysClr val="windowText" lastClr="000000"/>
              </a:solidFill>
              <a:latin typeface="Times New Roman"/>
              <a:cs typeface="Times New Roman"/>
            </a:rPr>
            <a:t>. Deriving custom Lime Kiln Dust (LKD) factors</a:t>
          </a:r>
        </a:p>
        <a:p>
          <a:pPr algn="l" rtl="0">
            <a:defRPr sz="1000"/>
          </a:pPr>
          <a:r>
            <a:rPr lang="en-US" sz="1200" b="0" i="0" u="none" strike="noStrike" baseline="0">
              <a:solidFill>
                <a:sysClr val="windowText" lastClr="000000"/>
              </a:solidFill>
              <a:latin typeface="Times New Roman"/>
              <a:cs typeface="Times New Roman"/>
            </a:rPr>
            <a:t>Tab 16. Summary of calculated emissions</a:t>
          </a:r>
        </a:p>
        <a:p>
          <a:pPr algn="l" rtl="0">
            <a:defRPr sz="1000"/>
          </a:pPr>
          <a:r>
            <a:rPr lang="en-US" sz="1200" b="0" i="0" u="none" strike="noStrike" baseline="0">
              <a:solidFill>
                <a:sysClr val="windowText" lastClr="000000"/>
              </a:solidFill>
              <a:latin typeface="Times New Roman"/>
              <a:cs typeface="Times New Roman"/>
            </a:rPr>
            <a:t>Tab 17. Abbreviatoins and Conversions</a:t>
          </a:r>
        </a:p>
        <a:p>
          <a:pPr algn="l" rtl="0">
            <a:defRPr sz="1000"/>
          </a:pPr>
          <a:r>
            <a:rPr lang="en-US" sz="1200" b="0" i="0" u="none" strike="noStrike" baseline="0">
              <a:solidFill>
                <a:sysClr val="windowText" lastClr="000000"/>
              </a:solidFill>
              <a:latin typeface="Times New Roman"/>
              <a:cs typeface="Times New Roman"/>
            </a:rPr>
            <a:t>Tab 18. Revision history</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Acknowledgements</a:t>
          </a: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r>
            <a:rPr lang="en-US" sz="1200" b="0" i="0" u="none" strike="noStrike" baseline="0">
              <a:solidFill>
                <a:srgbClr val="000000"/>
              </a:solidFill>
              <a:latin typeface="Times New Roman"/>
              <a:cs typeface="Times New Roman"/>
            </a:rPr>
            <a:t>The methods and default values provided in this tool come from the 2006 IPCC Guidelines. To view this documentation please go to http://www.ipcc-nggip.iges.or.jp/public/2006gl. All intellectual property rights belong to GHG Protocol Initiative. Please cite the original reference whenever using this tool. </a:t>
          </a:r>
          <a:endParaRPr lang="en-US" sz="1200" b="0" i="0" u="none" strike="noStrike" baseline="0">
            <a:solidFill>
              <a:srgbClr val="FF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33618</xdr:colOff>
      <xdr:row>12</xdr:row>
      <xdr:rowOff>302561</xdr:rowOff>
    </xdr:from>
    <xdr:to>
      <xdr:col>0</xdr:col>
      <xdr:colOff>358588</xdr:colOff>
      <xdr:row>13</xdr:row>
      <xdr:rowOff>44826</xdr:rowOff>
    </xdr:to>
    <xdr:sp macro="" textlink="">
      <xdr:nvSpPr>
        <xdr:cNvPr id="2" name="Oval 1">
          <a:extLst>
            <a:ext uri="{FF2B5EF4-FFF2-40B4-BE49-F238E27FC236}">
              <a16:creationId xmlns:a16="http://schemas.microsoft.com/office/drawing/2014/main" id="{24B736AB-8795-8825-B8B7-2CE7F4EA71B7}"/>
            </a:ext>
          </a:extLst>
        </xdr:cNvPr>
        <xdr:cNvSpPr/>
      </xdr:nvSpPr>
      <xdr:spPr>
        <a:xfrm>
          <a:off x="33618" y="2935943"/>
          <a:ext cx="324970" cy="302559"/>
        </a:xfrm>
        <a:prstGeom prst="ellipse">
          <a:avLst/>
        </a:prstGeom>
        <a:solidFill>
          <a:schemeClr val="tx2">
            <a:lumMod val="90000"/>
            <a:lumOff val="10000"/>
          </a:schemeClr>
        </a:solidFill>
        <a:ln>
          <a:no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l"/>
          <a:r>
            <a:rPr lang="en-US" sz="1200" b="1"/>
            <a:t>1</a:t>
          </a:r>
        </a:p>
      </xdr:txBody>
    </xdr:sp>
    <xdr:clientData/>
  </xdr:twoCellAnchor>
  <xdr:twoCellAnchor>
    <xdr:from>
      <xdr:col>0</xdr:col>
      <xdr:colOff>44823</xdr:colOff>
      <xdr:row>42</xdr:row>
      <xdr:rowOff>168089</xdr:rowOff>
    </xdr:from>
    <xdr:to>
      <xdr:col>0</xdr:col>
      <xdr:colOff>369793</xdr:colOff>
      <xdr:row>43</xdr:row>
      <xdr:rowOff>56030</xdr:rowOff>
    </xdr:to>
    <xdr:sp macro="" textlink="">
      <xdr:nvSpPr>
        <xdr:cNvPr id="3" name="Oval 2">
          <a:extLst>
            <a:ext uri="{FF2B5EF4-FFF2-40B4-BE49-F238E27FC236}">
              <a16:creationId xmlns:a16="http://schemas.microsoft.com/office/drawing/2014/main" id="{C4F56650-5D0E-4C3B-8AE2-043CAFB77A08}"/>
            </a:ext>
          </a:extLst>
        </xdr:cNvPr>
        <xdr:cNvSpPr/>
      </xdr:nvSpPr>
      <xdr:spPr>
        <a:xfrm>
          <a:off x="44823" y="11979089"/>
          <a:ext cx="324970" cy="302559"/>
        </a:xfrm>
        <a:prstGeom prst="ellipse">
          <a:avLst/>
        </a:prstGeom>
        <a:solidFill>
          <a:schemeClr val="tx2">
            <a:lumMod val="90000"/>
            <a:lumOff val="10000"/>
          </a:schemeClr>
        </a:solidFill>
        <a:ln>
          <a:no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l"/>
          <a:r>
            <a:rPr lang="en-US" sz="1200" b="1"/>
            <a:t>2</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33617</xdr:colOff>
      <xdr:row>11</xdr:row>
      <xdr:rowOff>302558</xdr:rowOff>
    </xdr:from>
    <xdr:to>
      <xdr:col>0</xdr:col>
      <xdr:colOff>358587</xdr:colOff>
      <xdr:row>12</xdr:row>
      <xdr:rowOff>44823</xdr:rowOff>
    </xdr:to>
    <xdr:sp macro="" textlink="">
      <xdr:nvSpPr>
        <xdr:cNvPr id="2" name="Oval 1">
          <a:extLst>
            <a:ext uri="{FF2B5EF4-FFF2-40B4-BE49-F238E27FC236}">
              <a16:creationId xmlns:a16="http://schemas.microsoft.com/office/drawing/2014/main" id="{C6ED77B8-4DC4-4534-AA39-26E33BC4FBAD}"/>
            </a:ext>
          </a:extLst>
        </xdr:cNvPr>
        <xdr:cNvSpPr/>
      </xdr:nvSpPr>
      <xdr:spPr>
        <a:xfrm>
          <a:off x="33617" y="2801470"/>
          <a:ext cx="324970" cy="302559"/>
        </a:xfrm>
        <a:prstGeom prst="ellipse">
          <a:avLst/>
        </a:prstGeom>
        <a:solidFill>
          <a:schemeClr val="tx2">
            <a:lumMod val="90000"/>
            <a:lumOff val="10000"/>
          </a:schemeClr>
        </a:solidFill>
        <a:ln>
          <a:no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l"/>
          <a:r>
            <a:rPr lang="en-US" sz="1200" b="1"/>
            <a:t>1</a:t>
          </a:r>
        </a:p>
      </xdr:txBody>
    </xdr:sp>
    <xdr:clientData/>
  </xdr:twoCellAnchor>
  <xdr:twoCellAnchor>
    <xdr:from>
      <xdr:col>1</xdr:col>
      <xdr:colOff>56028</xdr:colOff>
      <xdr:row>79</xdr:row>
      <xdr:rowOff>123263</xdr:rowOff>
    </xdr:from>
    <xdr:to>
      <xdr:col>1</xdr:col>
      <xdr:colOff>380998</xdr:colOff>
      <xdr:row>81</xdr:row>
      <xdr:rowOff>112057</xdr:rowOff>
    </xdr:to>
    <xdr:sp macro="" textlink="">
      <xdr:nvSpPr>
        <xdr:cNvPr id="3" name="Oval 2">
          <a:extLst>
            <a:ext uri="{FF2B5EF4-FFF2-40B4-BE49-F238E27FC236}">
              <a16:creationId xmlns:a16="http://schemas.microsoft.com/office/drawing/2014/main" id="{06AED1B4-E5D0-4050-9B29-960EAF3C2FB1}"/>
            </a:ext>
          </a:extLst>
        </xdr:cNvPr>
        <xdr:cNvSpPr/>
      </xdr:nvSpPr>
      <xdr:spPr>
        <a:xfrm>
          <a:off x="459440" y="17940616"/>
          <a:ext cx="324970" cy="302559"/>
        </a:xfrm>
        <a:prstGeom prst="ellipse">
          <a:avLst/>
        </a:prstGeom>
        <a:solidFill>
          <a:schemeClr val="tx2">
            <a:lumMod val="90000"/>
            <a:lumOff val="10000"/>
          </a:schemeClr>
        </a:solidFill>
        <a:ln>
          <a:no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l"/>
          <a:r>
            <a:rPr lang="en-US" sz="1200" b="1"/>
            <a:t>2</a:t>
          </a:r>
        </a:p>
      </xdr:txBody>
    </xdr:sp>
    <xdr:clientData/>
  </xdr:twoCellAnchor>
  <xdr:twoCellAnchor>
    <xdr:from>
      <xdr:col>0</xdr:col>
      <xdr:colOff>22410</xdr:colOff>
      <xdr:row>39</xdr:row>
      <xdr:rowOff>212910</xdr:rowOff>
    </xdr:from>
    <xdr:to>
      <xdr:col>0</xdr:col>
      <xdr:colOff>347380</xdr:colOff>
      <xdr:row>39</xdr:row>
      <xdr:rowOff>515469</xdr:rowOff>
    </xdr:to>
    <xdr:sp macro="" textlink="">
      <xdr:nvSpPr>
        <xdr:cNvPr id="5" name="Oval 4">
          <a:extLst>
            <a:ext uri="{FF2B5EF4-FFF2-40B4-BE49-F238E27FC236}">
              <a16:creationId xmlns:a16="http://schemas.microsoft.com/office/drawing/2014/main" id="{8684A573-0890-41A8-A8D7-6893D6A7F5BB}"/>
            </a:ext>
          </a:extLst>
        </xdr:cNvPr>
        <xdr:cNvSpPr/>
      </xdr:nvSpPr>
      <xdr:spPr>
        <a:xfrm>
          <a:off x="22410" y="9524998"/>
          <a:ext cx="324970" cy="302559"/>
        </a:xfrm>
        <a:prstGeom prst="ellipse">
          <a:avLst/>
        </a:prstGeom>
        <a:solidFill>
          <a:schemeClr val="tx2">
            <a:lumMod val="90000"/>
            <a:lumOff val="10000"/>
          </a:schemeClr>
        </a:solidFill>
        <a:ln>
          <a:noFill/>
        </a:ln>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ctr"/>
        <a:lstStyle/>
        <a:p>
          <a:pPr algn="l"/>
          <a:r>
            <a:rPr lang="en-US" sz="1200" b="1"/>
            <a:t>2</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office.com/Pages/ResponsePage.aspx?id=H6xrR7I22UqGmc2mutH4YkTo9xq9VRpCteO0lzUos9hUN1M5RVE4UElLN0hXQ0ZFU0FOVjlDSlEwMCQlQCN0PWcu"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55945-DE55-475C-9905-8F9085B84B2A}">
  <sheetPr>
    <tabColor rgb="FF00C6B9"/>
  </sheetPr>
  <dimension ref="B8:M28"/>
  <sheetViews>
    <sheetView showGridLines="0" tabSelected="1" zoomScaleNormal="100" workbookViewId="0"/>
  </sheetViews>
  <sheetFormatPr defaultColWidth="10.88671875" defaultRowHeight="13.2" x14ac:dyDescent="0.25"/>
  <cols>
    <col min="1" max="1" width="5.44140625" style="294" customWidth="1"/>
    <col min="2" max="2" width="133" style="295" customWidth="1"/>
    <col min="3" max="16384" width="10.88671875" style="294"/>
  </cols>
  <sheetData>
    <row r="8" spans="2:13" ht="82.8" x14ac:dyDescent="0.25">
      <c r="B8" s="298" t="s">
        <v>0</v>
      </c>
      <c r="C8" s="298"/>
      <c r="D8" s="298"/>
      <c r="E8" s="298"/>
      <c r="F8" s="298"/>
      <c r="G8" s="298"/>
      <c r="H8" s="298"/>
      <c r="I8" s="298"/>
      <c r="J8" s="298"/>
      <c r="K8" s="298"/>
      <c r="L8" s="298"/>
      <c r="M8" s="298"/>
    </row>
    <row r="9" spans="2:13" ht="13.8" x14ac:dyDescent="0.25">
      <c r="B9" s="298"/>
      <c r="C9" s="298"/>
      <c r="D9" s="298"/>
      <c r="E9" s="298"/>
      <c r="F9" s="298"/>
      <c r="G9" s="298"/>
      <c r="H9" s="298"/>
      <c r="I9" s="298"/>
      <c r="J9" s="298"/>
      <c r="K9" s="298"/>
      <c r="L9" s="298"/>
      <c r="M9" s="298"/>
    </row>
    <row r="10" spans="2:13" ht="13.8" x14ac:dyDescent="0.25">
      <c r="B10" s="297" t="s">
        <v>1</v>
      </c>
      <c r="C10" s="296"/>
      <c r="D10" s="296"/>
      <c r="E10" s="296"/>
      <c r="F10" s="296"/>
      <c r="G10" s="296"/>
      <c r="H10" s="296"/>
      <c r="I10" s="296"/>
      <c r="J10" s="296"/>
      <c r="K10" s="296"/>
      <c r="L10" s="296"/>
      <c r="M10" s="296"/>
    </row>
    <row r="11" spans="2:13" ht="207" x14ac:dyDescent="0.25">
      <c r="B11" s="298" t="s">
        <v>2</v>
      </c>
      <c r="C11" s="299"/>
      <c r="D11" s="299"/>
      <c r="E11" s="299"/>
      <c r="F11" s="299"/>
      <c r="G11" s="299"/>
      <c r="H11" s="299"/>
      <c r="I11" s="299"/>
      <c r="J11" s="299"/>
      <c r="K11" s="299"/>
      <c r="L11" s="299"/>
      <c r="M11" s="299"/>
    </row>
    <row r="12" spans="2:13" x14ac:dyDescent="0.25">
      <c r="B12" s="299"/>
      <c r="C12" s="299"/>
      <c r="D12" s="299"/>
      <c r="E12" s="299"/>
      <c r="F12" s="299"/>
      <c r="G12" s="299"/>
      <c r="H12" s="299"/>
      <c r="I12" s="299"/>
      <c r="J12" s="299"/>
      <c r="K12" s="299"/>
      <c r="L12" s="299"/>
      <c r="M12" s="299"/>
    </row>
    <row r="13" spans="2:13" ht="13.8" x14ac:dyDescent="0.25">
      <c r="B13" s="910" t="s">
        <v>3</v>
      </c>
      <c r="C13" s="299"/>
      <c r="D13" s="299"/>
      <c r="E13" s="299"/>
      <c r="F13" s="299"/>
      <c r="G13" s="299"/>
      <c r="H13" s="299"/>
      <c r="I13" s="299"/>
      <c r="J13" s="299"/>
      <c r="K13" s="299"/>
      <c r="L13" s="299"/>
      <c r="M13" s="299"/>
    </row>
    <row r="14" spans="2:13" x14ac:dyDescent="0.25">
      <c r="B14" s="299"/>
      <c r="C14" s="299"/>
      <c r="D14" s="299"/>
      <c r="E14" s="299"/>
      <c r="F14" s="299"/>
      <c r="G14" s="299"/>
      <c r="H14" s="299"/>
      <c r="I14" s="299"/>
      <c r="J14" s="299"/>
      <c r="K14" s="299"/>
      <c r="L14" s="299"/>
      <c r="M14" s="299"/>
    </row>
    <row r="15" spans="2:13" x14ac:dyDescent="0.25">
      <c r="B15" s="299"/>
      <c r="C15" s="299"/>
      <c r="D15" s="299"/>
      <c r="E15" s="299"/>
      <c r="F15" s="299"/>
      <c r="G15" s="299"/>
      <c r="H15" s="299"/>
      <c r="I15" s="299"/>
      <c r="J15" s="299"/>
      <c r="K15" s="299"/>
      <c r="L15" s="299"/>
      <c r="M15" s="299"/>
    </row>
    <row r="16" spans="2:13" x14ac:dyDescent="0.25">
      <c r="B16" s="299"/>
      <c r="C16" s="299"/>
      <c r="D16" s="299"/>
      <c r="E16" s="299"/>
      <c r="F16" s="299"/>
      <c r="G16" s="299"/>
      <c r="H16" s="299"/>
      <c r="I16" s="299"/>
      <c r="J16" s="299"/>
      <c r="K16" s="299"/>
      <c r="L16" s="299"/>
      <c r="M16" s="299"/>
    </row>
    <row r="17" spans="2:13" x14ac:dyDescent="0.25">
      <c r="B17" s="299"/>
      <c r="C17" s="299"/>
      <c r="D17" s="299"/>
      <c r="E17" s="299"/>
      <c r="F17" s="299"/>
      <c r="G17" s="299"/>
      <c r="H17" s="299"/>
      <c r="I17" s="299"/>
      <c r="J17" s="299"/>
      <c r="K17" s="299"/>
      <c r="L17" s="299"/>
      <c r="M17" s="299"/>
    </row>
    <row r="18" spans="2:13" x14ac:dyDescent="0.25">
      <c r="B18" s="299"/>
      <c r="C18" s="299"/>
      <c r="D18" s="299"/>
      <c r="E18" s="299"/>
      <c r="F18" s="299"/>
      <c r="G18" s="299"/>
      <c r="H18" s="299"/>
      <c r="I18" s="299"/>
      <c r="J18" s="299"/>
      <c r="K18" s="299"/>
      <c r="L18" s="299"/>
      <c r="M18" s="299"/>
    </row>
    <row r="19" spans="2:13" x14ac:dyDescent="0.25">
      <c r="B19" s="299"/>
      <c r="C19" s="299"/>
      <c r="D19" s="299"/>
      <c r="E19" s="299"/>
      <c r="F19" s="299"/>
      <c r="G19" s="299"/>
      <c r="H19" s="299"/>
      <c r="I19" s="299"/>
      <c r="J19" s="299"/>
      <c r="K19" s="299"/>
      <c r="L19" s="299"/>
      <c r="M19" s="299"/>
    </row>
    <row r="20" spans="2:13" x14ac:dyDescent="0.25">
      <c r="B20" s="299"/>
      <c r="C20" s="299"/>
      <c r="D20" s="299"/>
      <c r="E20" s="299"/>
      <c r="F20" s="299"/>
      <c r="G20" s="299"/>
      <c r="H20" s="299"/>
      <c r="I20" s="299"/>
      <c r="J20" s="299"/>
      <c r="K20" s="299"/>
      <c r="L20" s="299"/>
      <c r="M20" s="299"/>
    </row>
    <row r="21" spans="2:13" x14ac:dyDescent="0.25">
      <c r="B21" s="299"/>
      <c r="C21" s="299"/>
      <c r="D21" s="299"/>
      <c r="E21" s="299"/>
      <c r="F21" s="299"/>
      <c r="G21" s="299"/>
      <c r="H21" s="299"/>
      <c r="I21" s="299"/>
      <c r="J21" s="299"/>
      <c r="K21" s="299"/>
      <c r="L21" s="299"/>
      <c r="M21" s="299"/>
    </row>
    <row r="22" spans="2:13" x14ac:dyDescent="0.25">
      <c r="B22" s="299"/>
      <c r="C22" s="299"/>
      <c r="D22" s="299"/>
      <c r="E22" s="299"/>
      <c r="F22" s="299"/>
      <c r="G22" s="299"/>
      <c r="H22" s="299"/>
      <c r="I22" s="299"/>
      <c r="J22" s="299"/>
      <c r="K22" s="299"/>
      <c r="L22" s="299"/>
      <c r="M22" s="299"/>
    </row>
    <row r="23" spans="2:13" x14ac:dyDescent="0.25">
      <c r="B23" s="299"/>
      <c r="C23" s="299"/>
      <c r="D23" s="299"/>
      <c r="E23" s="299"/>
      <c r="F23" s="299"/>
      <c r="G23" s="299"/>
      <c r="H23" s="299"/>
      <c r="I23" s="299"/>
      <c r="J23" s="299"/>
      <c r="K23" s="299"/>
      <c r="L23" s="299"/>
      <c r="M23" s="299"/>
    </row>
    <row r="24" spans="2:13" x14ac:dyDescent="0.25">
      <c r="B24" s="299"/>
      <c r="C24" s="299"/>
      <c r="D24" s="299"/>
      <c r="E24" s="299"/>
      <c r="F24" s="299"/>
      <c r="G24" s="299"/>
      <c r="H24" s="299"/>
      <c r="I24" s="299"/>
      <c r="J24" s="299"/>
      <c r="K24" s="299"/>
      <c r="L24" s="299"/>
      <c r="M24" s="299"/>
    </row>
    <row r="25" spans="2:13" x14ac:dyDescent="0.25">
      <c r="B25" s="299"/>
      <c r="C25" s="299"/>
      <c r="D25" s="299"/>
      <c r="E25" s="299"/>
      <c r="F25" s="299"/>
      <c r="G25" s="299"/>
      <c r="H25" s="299"/>
      <c r="I25" s="299"/>
      <c r="J25" s="299"/>
      <c r="K25" s="299"/>
      <c r="L25" s="299"/>
      <c r="M25" s="299"/>
    </row>
    <row r="26" spans="2:13" x14ac:dyDescent="0.25">
      <c r="B26" s="299"/>
      <c r="C26" s="299"/>
      <c r="D26" s="299"/>
      <c r="E26" s="299"/>
      <c r="F26" s="299"/>
      <c r="G26" s="299"/>
      <c r="H26" s="299"/>
      <c r="I26" s="299"/>
      <c r="J26" s="299"/>
      <c r="K26" s="299"/>
      <c r="L26" s="299"/>
      <c r="M26" s="299"/>
    </row>
    <row r="27" spans="2:13" x14ac:dyDescent="0.25">
      <c r="B27" s="299"/>
      <c r="C27" s="299"/>
      <c r="D27" s="299"/>
      <c r="E27" s="299"/>
      <c r="F27" s="299"/>
      <c r="G27" s="299"/>
      <c r="H27" s="299"/>
      <c r="I27" s="299"/>
      <c r="J27" s="299"/>
      <c r="K27" s="299"/>
      <c r="L27" s="299"/>
      <c r="M27" s="299"/>
    </row>
    <row r="28" spans="2:13" x14ac:dyDescent="0.25">
      <c r="B28" s="299"/>
      <c r="C28" s="299"/>
      <c r="D28" s="299"/>
      <c r="E28" s="299"/>
      <c r="F28" s="299"/>
      <c r="G28" s="299"/>
      <c r="H28" s="299"/>
      <c r="I28" s="299"/>
      <c r="J28" s="299"/>
      <c r="K28" s="299"/>
      <c r="L28" s="299"/>
      <c r="M28" s="299"/>
    </row>
  </sheetData>
  <sheetProtection algorithmName="SHA-512" hashValue="EI5nuvqRYreNHn5VmALRg9dVXpnUARf5LwtwJCP3MDpI9dIoEF/1oZnehlOCDAv0EOv6iZm2LikrRmJ0M74pnQ==" saltValue="Ijf9Xizplz4frEqRF/S2hw==" spinCount="100000" sheet="1" objects="1" scenarios="1"/>
  <hyperlinks>
    <hyperlink ref="B13" r:id="rId1" xr:uid="{E8BA0D50-EA7F-469F-9D79-D219BFCCF498}"/>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C6B9"/>
  </sheetPr>
  <dimension ref="A2:H46"/>
  <sheetViews>
    <sheetView showGridLines="0" zoomScaleNormal="100" workbookViewId="0"/>
  </sheetViews>
  <sheetFormatPr defaultRowHeight="13.2" x14ac:dyDescent="0.25"/>
  <cols>
    <col min="1" max="1" width="14.44140625" customWidth="1"/>
    <col min="3" max="3" width="18.5546875" customWidth="1"/>
    <col min="4" max="4" width="18.6640625" customWidth="1"/>
    <col min="5" max="5" width="22.88671875" customWidth="1"/>
    <col min="6" max="6" width="19.44140625" customWidth="1"/>
    <col min="7" max="7" width="20.33203125" customWidth="1"/>
    <col min="8" max="8" width="13.33203125" customWidth="1"/>
  </cols>
  <sheetData>
    <row r="2" spans="1:8" ht="15.6" x14ac:dyDescent="0.3">
      <c r="B2" s="2" t="s">
        <v>297</v>
      </c>
      <c r="C2" s="2"/>
    </row>
    <row r="4" spans="1:8" x14ac:dyDescent="0.25">
      <c r="B4" s="6"/>
      <c r="C4" t="s">
        <v>225</v>
      </c>
    </row>
    <row r="5" spans="1:8" x14ac:dyDescent="0.25">
      <c r="B5" s="7"/>
      <c r="C5" t="s">
        <v>226</v>
      </c>
    </row>
    <row r="6" spans="1:8" x14ac:dyDescent="0.25">
      <c r="B6" s="125"/>
      <c r="C6" t="s">
        <v>7</v>
      </c>
    </row>
    <row r="7" spans="1:8" ht="13.8" thickBot="1" x14ac:dyDescent="0.3"/>
    <row r="8" spans="1:8" ht="18.600000000000001" thickBot="1" x14ac:dyDescent="0.45">
      <c r="B8" s="215" t="s">
        <v>227</v>
      </c>
      <c r="C8" s="214"/>
    </row>
    <row r="10" spans="1:8" x14ac:dyDescent="0.25">
      <c r="B10" s="4" t="s">
        <v>298</v>
      </c>
      <c r="C10" s="4"/>
    </row>
    <row r="11" spans="1:8" ht="13.8" thickBot="1" x14ac:dyDescent="0.3"/>
    <row r="12" spans="1:8" x14ac:dyDescent="0.25">
      <c r="B12" s="1150" t="s">
        <v>236</v>
      </c>
      <c r="C12" s="1155" t="s">
        <v>299</v>
      </c>
      <c r="D12" s="1156"/>
      <c r="E12" s="1156"/>
      <c r="F12" s="1155" t="s">
        <v>300</v>
      </c>
      <c r="G12" s="1167"/>
      <c r="H12" s="1169" t="s">
        <v>235</v>
      </c>
    </row>
    <row r="13" spans="1:8" ht="27" thickBot="1" x14ac:dyDescent="0.3">
      <c r="B13" s="1151"/>
      <c r="C13" s="217" t="s">
        <v>301</v>
      </c>
      <c r="D13" s="177" t="s">
        <v>302</v>
      </c>
      <c r="E13" s="218" t="s">
        <v>303</v>
      </c>
      <c r="F13" s="216" t="s">
        <v>304</v>
      </c>
      <c r="G13" s="213" t="s">
        <v>305</v>
      </c>
      <c r="H13" s="1170"/>
    </row>
    <row r="14" spans="1:8" ht="26.4" x14ac:dyDescent="0.25">
      <c r="A14" s="13" t="s">
        <v>306</v>
      </c>
      <c r="B14" s="1152" t="s">
        <v>247</v>
      </c>
      <c r="C14" s="667" t="s">
        <v>307</v>
      </c>
      <c r="D14" s="668">
        <v>100</v>
      </c>
      <c r="E14" s="669">
        <v>0.82</v>
      </c>
      <c r="F14" s="1171">
        <v>100</v>
      </c>
      <c r="G14" s="1180">
        <v>0.11</v>
      </c>
      <c r="H14" s="1183">
        <f>(C18 - (F14*G14)) * (44/12)</f>
        <v>421.66666666666663</v>
      </c>
    </row>
    <row r="15" spans="1:8" x14ac:dyDescent="0.25">
      <c r="B15" s="1153"/>
      <c r="C15" s="670" t="s">
        <v>130</v>
      </c>
      <c r="D15" s="671">
        <v>90</v>
      </c>
      <c r="E15" s="672">
        <v>0.47</v>
      </c>
      <c r="F15" s="1172"/>
      <c r="G15" s="1181"/>
      <c r="H15" s="1184"/>
    </row>
    <row r="16" spans="1:8" x14ac:dyDescent="0.25">
      <c r="B16" s="1153"/>
      <c r="C16" s="670" t="s">
        <v>131</v>
      </c>
      <c r="D16" s="671">
        <v>10</v>
      </c>
      <c r="E16" s="672">
        <v>0.17</v>
      </c>
      <c r="F16" s="1172"/>
      <c r="G16" s="1181"/>
      <c r="H16" s="1184"/>
    </row>
    <row r="17" spans="2:8" x14ac:dyDescent="0.25">
      <c r="B17" s="1153"/>
      <c r="C17" s="673" t="s">
        <v>308</v>
      </c>
      <c r="D17" s="674">
        <v>0</v>
      </c>
      <c r="E17" s="675">
        <v>0</v>
      </c>
      <c r="F17" s="1172"/>
      <c r="G17" s="1181"/>
      <c r="H17" s="1184"/>
    </row>
    <row r="18" spans="2:8" ht="13.8" thickBot="1" x14ac:dyDescent="0.3">
      <c r="B18" s="1154"/>
      <c r="C18" s="1137">
        <f>(D14*E14)+(D15*E15) + (D16*E16) + (D17*E17)</f>
        <v>126</v>
      </c>
      <c r="D18" s="1138"/>
      <c r="E18" s="1139"/>
      <c r="F18" s="1173"/>
      <c r="G18" s="1182"/>
      <c r="H18" s="1185"/>
    </row>
    <row r="19" spans="2:8" x14ac:dyDescent="0.25">
      <c r="B19" s="1157"/>
      <c r="C19" s="676"/>
      <c r="D19" s="612"/>
      <c r="E19" s="660"/>
      <c r="F19" s="1175"/>
      <c r="G19" s="1147"/>
      <c r="H19" s="1177">
        <f>(C23 - (F19*G19)) * (44/12)</f>
        <v>0</v>
      </c>
    </row>
    <row r="20" spans="2:8" x14ac:dyDescent="0.25">
      <c r="B20" s="1158"/>
      <c r="C20" s="636"/>
      <c r="D20" s="615"/>
      <c r="E20" s="660"/>
      <c r="F20" s="1175"/>
      <c r="G20" s="1147"/>
      <c r="H20" s="1177"/>
    </row>
    <row r="21" spans="2:8" x14ac:dyDescent="0.25">
      <c r="B21" s="1158"/>
      <c r="C21" s="636"/>
      <c r="D21" s="612"/>
      <c r="E21" s="660"/>
      <c r="F21" s="1175"/>
      <c r="G21" s="1147"/>
      <c r="H21" s="1177"/>
    </row>
    <row r="22" spans="2:8" x14ac:dyDescent="0.25">
      <c r="B22" s="1158"/>
      <c r="C22" s="677"/>
      <c r="D22" s="615"/>
      <c r="E22" s="660"/>
      <c r="F22" s="1175"/>
      <c r="G22" s="1147"/>
      <c r="H22" s="1177"/>
    </row>
    <row r="23" spans="2:8" ht="13.8" thickBot="1" x14ac:dyDescent="0.3">
      <c r="B23" s="1159"/>
      <c r="C23" s="1096">
        <f>(D19*E19)+(D20*E20) + (D21*E21) + (D22*E22)</f>
        <v>0</v>
      </c>
      <c r="D23" s="1096"/>
      <c r="E23" s="1168"/>
      <c r="F23" s="1176"/>
      <c r="G23" s="1186"/>
      <c r="H23" s="1179"/>
    </row>
    <row r="24" spans="2:8" x14ac:dyDescent="0.25">
      <c r="B24" s="1162"/>
      <c r="C24" s="678"/>
      <c r="D24" s="621"/>
      <c r="E24" s="663"/>
      <c r="F24" s="1174"/>
      <c r="G24" s="1187"/>
      <c r="H24" s="1178">
        <f>(C28 - (F24*G24)) * (44/12)</f>
        <v>0</v>
      </c>
    </row>
    <row r="25" spans="2:8" x14ac:dyDescent="0.25">
      <c r="B25" s="1158"/>
      <c r="C25" s="636"/>
      <c r="D25" s="615"/>
      <c r="E25" s="660"/>
      <c r="F25" s="1175"/>
      <c r="G25" s="1147"/>
      <c r="H25" s="1177"/>
    </row>
    <row r="26" spans="2:8" x14ac:dyDescent="0.25">
      <c r="B26" s="1158"/>
      <c r="C26" s="636"/>
      <c r="D26" s="612"/>
      <c r="E26" s="660"/>
      <c r="F26" s="1175"/>
      <c r="G26" s="1147"/>
      <c r="H26" s="1177"/>
    </row>
    <row r="27" spans="2:8" x14ac:dyDescent="0.25">
      <c r="B27" s="1158"/>
      <c r="C27" s="677"/>
      <c r="D27" s="615"/>
      <c r="E27" s="660"/>
      <c r="F27" s="1175"/>
      <c r="G27" s="1147"/>
      <c r="H27" s="1177"/>
    </row>
    <row r="28" spans="2:8" ht="13.8" thickBot="1" x14ac:dyDescent="0.3">
      <c r="B28" s="1159"/>
      <c r="C28" s="1148">
        <f>(D24*E24)+(D25*E25) + (D26*E26) + (D27*E27)</f>
        <v>0</v>
      </c>
      <c r="D28" s="1148"/>
      <c r="E28" s="1149"/>
      <c r="F28" s="1176"/>
      <c r="G28" s="1186"/>
      <c r="H28" s="1179"/>
    </row>
    <row r="29" spans="2:8" x14ac:dyDescent="0.25">
      <c r="B29" s="1157"/>
      <c r="C29" s="676"/>
      <c r="D29" s="612"/>
      <c r="E29" s="660"/>
      <c r="F29" s="1188"/>
      <c r="G29" s="1146"/>
      <c r="H29" s="1177">
        <f>(C33 - (F29*G29)) * (44/12)</f>
        <v>0</v>
      </c>
    </row>
    <row r="30" spans="2:8" x14ac:dyDescent="0.25">
      <c r="B30" s="1158"/>
      <c r="C30" s="636"/>
      <c r="D30" s="615"/>
      <c r="E30" s="660"/>
      <c r="F30" s="1175"/>
      <c r="G30" s="1147"/>
      <c r="H30" s="1177"/>
    </row>
    <row r="31" spans="2:8" x14ac:dyDescent="0.25">
      <c r="B31" s="1158"/>
      <c r="C31" s="636"/>
      <c r="D31" s="612"/>
      <c r="E31" s="660"/>
      <c r="F31" s="1175"/>
      <c r="G31" s="1147"/>
      <c r="H31" s="1177"/>
    </row>
    <row r="32" spans="2:8" x14ac:dyDescent="0.25">
      <c r="B32" s="1158"/>
      <c r="C32" s="677"/>
      <c r="D32" s="615"/>
      <c r="E32" s="660"/>
      <c r="F32" s="1175"/>
      <c r="G32" s="1147"/>
      <c r="H32" s="1177"/>
    </row>
    <row r="33" spans="1:8" ht="13.8" thickBot="1" x14ac:dyDescent="0.3">
      <c r="B33" s="1159"/>
      <c r="C33" s="1160">
        <f>(D29*E29)+(D30*E30) + (D31*E31) + (D32*E32)</f>
        <v>0</v>
      </c>
      <c r="D33" s="1160"/>
      <c r="E33" s="1161"/>
      <c r="F33" s="1175"/>
      <c r="G33" s="1147"/>
      <c r="H33" s="1177"/>
    </row>
    <row r="34" spans="1:8" ht="16.2" thickBot="1" x14ac:dyDescent="0.4">
      <c r="B34" s="1163" t="s">
        <v>309</v>
      </c>
      <c r="C34" s="1165"/>
      <c r="D34" s="1165"/>
      <c r="E34" s="1165"/>
      <c r="F34" s="1165"/>
      <c r="G34" s="1166"/>
      <c r="H34" s="692">
        <f>SUM(H19:H33)</f>
        <v>0</v>
      </c>
    </row>
    <row r="35" spans="1:8" x14ac:dyDescent="0.25">
      <c r="B35" s="623" t="s">
        <v>254</v>
      </c>
      <c r="C35" s="623"/>
      <c r="D35" s="623"/>
      <c r="E35" s="623"/>
      <c r="F35" s="623"/>
      <c r="G35" s="623"/>
      <c r="H35" s="623"/>
    </row>
    <row r="36" spans="1:8" ht="13.8" thickBot="1" x14ac:dyDescent="0.3">
      <c r="B36" s="613"/>
      <c r="C36" s="613"/>
      <c r="D36" s="613"/>
      <c r="E36" s="613"/>
      <c r="F36" s="613"/>
      <c r="G36" s="613"/>
      <c r="H36" s="613"/>
    </row>
    <row r="37" spans="1:8" ht="18.600000000000001" thickBot="1" x14ac:dyDescent="0.45">
      <c r="B37" s="679" t="s">
        <v>271</v>
      </c>
      <c r="C37" s="680"/>
      <c r="D37" s="613"/>
      <c r="E37" s="613"/>
      <c r="F37" s="626"/>
      <c r="G37" s="613"/>
      <c r="H37" s="613"/>
    </row>
    <row r="38" spans="1:8" ht="13.8" thickBot="1" x14ac:dyDescent="0.3">
      <c r="B38" s="613"/>
      <c r="C38" s="613"/>
      <c r="D38" s="613"/>
      <c r="E38" s="613"/>
      <c r="F38" s="613"/>
      <c r="G38" s="613"/>
      <c r="H38" s="613"/>
    </row>
    <row r="39" spans="1:8" ht="49.5" customHeight="1" thickBot="1" x14ac:dyDescent="0.3">
      <c r="B39" s="681" t="s">
        <v>236</v>
      </c>
      <c r="C39" s="682" t="s">
        <v>310</v>
      </c>
      <c r="D39" s="630" t="s">
        <v>311</v>
      </c>
      <c r="E39" s="631" t="s">
        <v>312</v>
      </c>
      <c r="F39" s="613"/>
      <c r="G39" s="613"/>
      <c r="H39" s="613"/>
    </row>
    <row r="40" spans="1:8" s="116" customFormat="1" ht="40.5" customHeight="1" thickBot="1" x14ac:dyDescent="0.3">
      <c r="A40" s="115" t="s">
        <v>259</v>
      </c>
      <c r="B40" s="683" t="s">
        <v>247</v>
      </c>
      <c r="C40" s="684">
        <v>123</v>
      </c>
      <c r="D40" s="685">
        <v>7.0000000000000007E-2</v>
      </c>
      <c r="E40" s="686">
        <f>C40*D40</f>
        <v>8.6100000000000012</v>
      </c>
      <c r="F40" s="613"/>
      <c r="G40" s="687"/>
      <c r="H40" s="687"/>
    </row>
    <row r="41" spans="1:8" x14ac:dyDescent="0.25">
      <c r="B41" s="688" t="str">
        <f>IF(ISBLANK(B19)," ",B19)</f>
        <v xml:space="preserve"> </v>
      </c>
      <c r="C41" s="612"/>
      <c r="D41" s="601"/>
      <c r="E41" s="640">
        <f>C41*D41</f>
        <v>0</v>
      </c>
      <c r="F41" s="613"/>
      <c r="G41" s="613"/>
      <c r="H41" s="613"/>
    </row>
    <row r="42" spans="1:8" ht="12.75" customHeight="1" x14ac:dyDescent="0.25">
      <c r="B42" s="689" t="str">
        <f>IF(ISBLANK(B24)," ",B24)</f>
        <v xml:space="preserve"> </v>
      </c>
      <c r="C42" s="615"/>
      <c r="D42" s="602"/>
      <c r="E42" s="640">
        <f>C42*D42</f>
        <v>0</v>
      </c>
      <c r="F42" s="613"/>
      <c r="G42" s="613"/>
      <c r="H42" s="613"/>
    </row>
    <row r="43" spans="1:8" ht="13.8" thickBot="1" x14ac:dyDescent="0.3">
      <c r="B43" s="689" t="str">
        <f>IF(ISBLANK(B29)," ",B29)</f>
        <v xml:space="preserve"> </v>
      </c>
      <c r="C43" s="615"/>
      <c r="D43" s="602"/>
      <c r="E43" s="640">
        <f>C43*D43</f>
        <v>0</v>
      </c>
      <c r="F43" s="613"/>
      <c r="G43" s="613"/>
      <c r="H43" s="613"/>
    </row>
    <row r="44" spans="1:8" ht="16.2" thickBot="1" x14ac:dyDescent="0.4">
      <c r="B44" s="1163" t="s">
        <v>260</v>
      </c>
      <c r="C44" s="1164"/>
      <c r="D44" s="1164"/>
      <c r="E44" s="693">
        <f>SUM(E41:E43)</f>
        <v>0</v>
      </c>
      <c r="F44" s="613"/>
      <c r="G44" s="613"/>
      <c r="H44" s="613"/>
    </row>
    <row r="45" spans="1:8" ht="15.6" x14ac:dyDescent="0.35">
      <c r="B45" s="690" t="s">
        <v>313</v>
      </c>
      <c r="C45" s="691"/>
      <c r="D45" s="691"/>
      <c r="E45" s="691"/>
      <c r="F45" s="691"/>
      <c r="G45" s="613"/>
      <c r="H45" s="613"/>
    </row>
    <row r="46" spans="1:8" ht="16.8" x14ac:dyDescent="0.35">
      <c r="B46" s="28" t="s">
        <v>314</v>
      </c>
      <c r="C46" s="1"/>
      <c r="D46" s="1"/>
      <c r="E46" s="1"/>
      <c r="F46" s="1"/>
    </row>
  </sheetData>
  <sheetProtection algorithmName="SHA-512" hashValue="j1ugWDLozP339AZJhr217yO71pRRDl6Fv+WQJbRh6Y8ohnpB406cJIhCBI3g5c6X/FjKIyEPUqZawTjXwsKNtg==" saltValue="HNa7sWxxYpa8Ejk3+gzEgg==" spinCount="100000" sheet="1" objects="1" scenarios="1"/>
  <mergeCells count="26">
    <mergeCell ref="B44:D44"/>
    <mergeCell ref="B34:G34"/>
    <mergeCell ref="F12:G12"/>
    <mergeCell ref="C23:E23"/>
    <mergeCell ref="H12:H13"/>
    <mergeCell ref="F14:F18"/>
    <mergeCell ref="F24:F28"/>
    <mergeCell ref="H29:H33"/>
    <mergeCell ref="H24:H28"/>
    <mergeCell ref="G14:G18"/>
    <mergeCell ref="H14:H18"/>
    <mergeCell ref="G19:G23"/>
    <mergeCell ref="H19:H23"/>
    <mergeCell ref="G24:G28"/>
    <mergeCell ref="F29:F33"/>
    <mergeCell ref="F19:F23"/>
    <mergeCell ref="G29:G33"/>
    <mergeCell ref="C28:E28"/>
    <mergeCell ref="B12:B13"/>
    <mergeCell ref="B14:B18"/>
    <mergeCell ref="C18:E18"/>
    <mergeCell ref="C12:E12"/>
    <mergeCell ref="B29:B33"/>
    <mergeCell ref="B19:B23"/>
    <mergeCell ref="C33:E33"/>
    <mergeCell ref="B24:B28"/>
  </mergeCells>
  <phoneticPr fontId="7" type="noConversion"/>
  <dataValidations count="2">
    <dataValidation type="decimal" errorStyle="information" operator="greaterThan" allowBlank="1" showInputMessage="1" showErrorMessage="1" errorTitle="Incorrect value" error="Value must be greater than zero." sqref="D19:E22 D24:E27 D29:E32 F19:G33" xr:uid="{BD495CF9-DEA2-4186-965F-99566253F8DF}">
      <formula1>0</formula1>
    </dataValidation>
    <dataValidation type="decimal" errorStyle="information" operator="greaterThan" allowBlank="1" showInputMessage="1" showErrorMessage="1" errorTitle="Incorrect value" error="Value must be great than zero." sqref="C41:D43" xr:uid="{DD5F2609-6B34-4A09-9068-73F0AC583161}">
      <formula1>0</formula1>
    </dataValidation>
  </dataValidations>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C6B9"/>
  </sheetPr>
  <dimension ref="A1:J53"/>
  <sheetViews>
    <sheetView showGridLines="0" zoomScaleNormal="100" workbookViewId="0"/>
  </sheetViews>
  <sheetFormatPr defaultRowHeight="13.2" x14ac:dyDescent="0.25"/>
  <cols>
    <col min="1" max="1" width="14.88671875" customWidth="1"/>
    <col min="3" max="3" width="15.109375" customWidth="1"/>
    <col min="4" max="4" width="18.88671875" customWidth="1"/>
    <col min="5" max="5" width="16.109375" customWidth="1"/>
    <col min="6" max="6" width="14.88671875" customWidth="1"/>
    <col min="7" max="7" width="16" customWidth="1"/>
    <col min="8" max="8" width="17.6640625" customWidth="1"/>
    <col min="9" max="9" width="18.109375" customWidth="1"/>
  </cols>
  <sheetData>
    <row r="1" spans="1:10" x14ac:dyDescent="0.25">
      <c r="B1" s="10"/>
    </row>
    <row r="2" spans="1:10" ht="15.6" x14ac:dyDescent="0.3">
      <c r="B2" s="2" t="s">
        <v>315</v>
      </c>
    </row>
    <row r="3" spans="1:10" x14ac:dyDescent="0.25">
      <c r="B3" s="4"/>
    </row>
    <row r="4" spans="1:10" x14ac:dyDescent="0.25">
      <c r="B4" s="6"/>
      <c r="C4" t="s">
        <v>225</v>
      </c>
    </row>
    <row r="5" spans="1:10" x14ac:dyDescent="0.25">
      <c r="B5" s="7"/>
      <c r="C5" t="s">
        <v>226</v>
      </c>
    </row>
    <row r="6" spans="1:10" x14ac:dyDescent="0.25">
      <c r="B6" s="125"/>
      <c r="C6" t="s">
        <v>7</v>
      </c>
    </row>
    <row r="7" spans="1:10" ht="13.8" thickBot="1" x14ac:dyDescent="0.3"/>
    <row r="8" spans="1:10" ht="18.600000000000001" thickBot="1" x14ac:dyDescent="0.45">
      <c r="B8" s="215" t="s">
        <v>227</v>
      </c>
      <c r="C8" s="211"/>
    </row>
    <row r="9" spans="1:10" ht="17.25" customHeight="1" thickBot="1" x14ac:dyDescent="0.3">
      <c r="B9" s="30"/>
    </row>
    <row r="10" spans="1:10" ht="23.25" customHeight="1" x14ac:dyDescent="0.25">
      <c r="B10" s="1192" t="s">
        <v>236</v>
      </c>
      <c r="C10" s="1194" t="s">
        <v>316</v>
      </c>
      <c r="D10" s="1195"/>
      <c r="E10" s="1194" t="s">
        <v>317</v>
      </c>
      <c r="F10" s="1196"/>
      <c r="G10" s="1194" t="s">
        <v>318</v>
      </c>
      <c r="H10" s="1196"/>
      <c r="I10" s="1189" t="s">
        <v>319</v>
      </c>
      <c r="J10" s="613"/>
    </row>
    <row r="11" spans="1:10" ht="15" customHeight="1" thickBot="1" x14ac:dyDescent="0.3">
      <c r="B11" s="1193"/>
      <c r="C11" s="695" t="s">
        <v>320</v>
      </c>
      <c r="D11" s="696" t="s">
        <v>321</v>
      </c>
      <c r="E11" s="695" t="s">
        <v>320</v>
      </c>
      <c r="F11" s="697" t="s">
        <v>321</v>
      </c>
      <c r="G11" s="695" t="s">
        <v>320</v>
      </c>
      <c r="H11" s="697" t="s">
        <v>321</v>
      </c>
      <c r="I11" s="1190"/>
      <c r="J11" s="613"/>
    </row>
    <row r="12" spans="1:10" s="116" customFormat="1" ht="24.75" customHeight="1" thickBot="1" x14ac:dyDescent="0.3">
      <c r="A12" s="115" t="s">
        <v>306</v>
      </c>
      <c r="B12" s="698" t="s">
        <v>247</v>
      </c>
      <c r="C12" s="699">
        <v>500</v>
      </c>
      <c r="D12" s="700">
        <v>0.25</v>
      </c>
      <c r="E12" s="699">
        <v>850</v>
      </c>
      <c r="F12" s="701">
        <v>0.98</v>
      </c>
      <c r="G12" s="699">
        <v>30</v>
      </c>
      <c r="H12" s="701">
        <v>0.23</v>
      </c>
      <c r="I12" s="702">
        <f xml:space="preserve"> ((C12*D12) + (E12*F12)+(G12*H12)) * (44/12)</f>
        <v>3537.9666666666662</v>
      </c>
      <c r="J12" s="687"/>
    </row>
    <row r="13" spans="1:10" s="116" customFormat="1" x14ac:dyDescent="0.25">
      <c r="B13" s="703"/>
      <c r="C13" s="704"/>
      <c r="D13" s="704"/>
      <c r="E13" s="704"/>
      <c r="F13" s="704"/>
      <c r="G13" s="704"/>
      <c r="H13" s="704"/>
      <c r="I13" s="720">
        <f t="shared" ref="I13:I27" si="0" xml:space="preserve"> ((C13*D13) + (E13*F13)+(G13*H13)) * (44/12)</f>
        <v>0</v>
      </c>
      <c r="J13" s="687"/>
    </row>
    <row r="14" spans="1:10" s="116" customFormat="1" x14ac:dyDescent="0.25">
      <c r="B14" s="705"/>
      <c r="C14" s="706"/>
      <c r="D14" s="706"/>
      <c r="E14" s="706"/>
      <c r="F14" s="706"/>
      <c r="G14" s="706"/>
      <c r="H14" s="706"/>
      <c r="I14" s="721">
        <f t="shared" si="0"/>
        <v>0</v>
      </c>
      <c r="J14" s="687"/>
    </row>
    <row r="15" spans="1:10" s="116" customFormat="1" x14ac:dyDescent="0.25">
      <c r="B15" s="705"/>
      <c r="C15" s="707"/>
      <c r="D15" s="706"/>
      <c r="E15" s="706"/>
      <c r="F15" s="706"/>
      <c r="G15" s="706"/>
      <c r="H15" s="706"/>
      <c r="I15" s="721">
        <f t="shared" si="0"/>
        <v>0</v>
      </c>
      <c r="J15" s="687"/>
    </row>
    <row r="16" spans="1:10" s="116" customFormat="1" x14ac:dyDescent="0.25">
      <c r="B16" s="705"/>
      <c r="C16" s="706"/>
      <c r="D16" s="706"/>
      <c r="E16" s="706"/>
      <c r="F16" s="706"/>
      <c r="G16" s="706"/>
      <c r="H16" s="706"/>
      <c r="I16" s="721">
        <f t="shared" si="0"/>
        <v>0</v>
      </c>
      <c r="J16" s="687"/>
    </row>
    <row r="17" spans="2:10" s="116" customFormat="1" x14ac:dyDescent="0.25">
      <c r="B17" s="705"/>
      <c r="C17" s="706"/>
      <c r="D17" s="706"/>
      <c r="E17" s="706"/>
      <c r="F17" s="706"/>
      <c r="G17" s="706"/>
      <c r="H17" s="706"/>
      <c r="I17" s="721">
        <f t="shared" si="0"/>
        <v>0</v>
      </c>
      <c r="J17" s="687"/>
    </row>
    <row r="18" spans="2:10" s="116" customFormat="1" x14ac:dyDescent="0.25">
      <c r="B18" s="705"/>
      <c r="C18" s="706"/>
      <c r="D18" s="706"/>
      <c r="E18" s="706"/>
      <c r="F18" s="706"/>
      <c r="G18" s="706"/>
      <c r="H18" s="706"/>
      <c r="I18" s="721">
        <f t="shared" si="0"/>
        <v>0</v>
      </c>
      <c r="J18" s="687"/>
    </row>
    <row r="19" spans="2:10" s="116" customFormat="1" x14ac:dyDescent="0.25">
      <c r="B19" s="705"/>
      <c r="C19" s="706"/>
      <c r="D19" s="706"/>
      <c r="E19" s="706"/>
      <c r="F19" s="706"/>
      <c r="G19" s="706"/>
      <c r="H19" s="706"/>
      <c r="I19" s="721">
        <f t="shared" si="0"/>
        <v>0</v>
      </c>
      <c r="J19" s="687"/>
    </row>
    <row r="20" spans="2:10" s="116" customFormat="1" x14ac:dyDescent="0.25">
      <c r="B20" s="705"/>
      <c r="C20" s="706"/>
      <c r="D20" s="706"/>
      <c r="E20" s="706"/>
      <c r="F20" s="706"/>
      <c r="G20" s="706"/>
      <c r="H20" s="706"/>
      <c r="I20" s="721">
        <f t="shared" si="0"/>
        <v>0</v>
      </c>
      <c r="J20" s="687"/>
    </row>
    <row r="21" spans="2:10" s="116" customFormat="1" x14ac:dyDescent="0.25">
      <c r="B21" s="705"/>
      <c r="C21" s="706"/>
      <c r="D21" s="706"/>
      <c r="E21" s="706"/>
      <c r="F21" s="706"/>
      <c r="G21" s="706"/>
      <c r="H21" s="706"/>
      <c r="I21" s="721">
        <f t="shared" si="0"/>
        <v>0</v>
      </c>
      <c r="J21" s="687"/>
    </row>
    <row r="22" spans="2:10" s="116" customFormat="1" x14ac:dyDescent="0.25">
      <c r="B22" s="705"/>
      <c r="C22" s="706"/>
      <c r="D22" s="706"/>
      <c r="E22" s="706"/>
      <c r="F22" s="706"/>
      <c r="G22" s="706"/>
      <c r="H22" s="706"/>
      <c r="I22" s="721">
        <f t="shared" si="0"/>
        <v>0</v>
      </c>
      <c r="J22" s="687"/>
    </row>
    <row r="23" spans="2:10" s="116" customFormat="1" x14ac:dyDescent="0.25">
      <c r="B23" s="705"/>
      <c r="C23" s="706"/>
      <c r="D23" s="706"/>
      <c r="E23" s="706"/>
      <c r="F23" s="706"/>
      <c r="G23" s="706"/>
      <c r="H23" s="706"/>
      <c r="I23" s="721">
        <f t="shared" si="0"/>
        <v>0</v>
      </c>
      <c r="J23" s="687"/>
    </row>
    <row r="24" spans="2:10" s="116" customFormat="1" x14ac:dyDescent="0.25">
      <c r="B24" s="705"/>
      <c r="C24" s="706"/>
      <c r="D24" s="706"/>
      <c r="E24" s="706"/>
      <c r="F24" s="706"/>
      <c r="G24" s="706"/>
      <c r="H24" s="706"/>
      <c r="I24" s="721">
        <f t="shared" si="0"/>
        <v>0</v>
      </c>
      <c r="J24" s="687"/>
    </row>
    <row r="25" spans="2:10" s="116" customFormat="1" x14ac:dyDescent="0.25">
      <c r="B25" s="705"/>
      <c r="C25" s="706"/>
      <c r="D25" s="706"/>
      <c r="E25" s="706"/>
      <c r="F25" s="706"/>
      <c r="G25" s="706"/>
      <c r="H25" s="706"/>
      <c r="I25" s="721">
        <f t="shared" si="0"/>
        <v>0</v>
      </c>
      <c r="J25" s="687"/>
    </row>
    <row r="26" spans="2:10" s="116" customFormat="1" x14ac:dyDescent="0.25">
      <c r="B26" s="705"/>
      <c r="C26" s="706"/>
      <c r="D26" s="706"/>
      <c r="E26" s="706"/>
      <c r="F26" s="706"/>
      <c r="G26" s="706"/>
      <c r="H26" s="706"/>
      <c r="I26" s="721">
        <f t="shared" si="0"/>
        <v>0</v>
      </c>
      <c r="J26" s="687"/>
    </row>
    <row r="27" spans="2:10" s="116" customFormat="1" ht="13.8" thickBot="1" x14ac:dyDescent="0.3">
      <c r="B27" s="708"/>
      <c r="C27" s="709"/>
      <c r="D27" s="709"/>
      <c r="E27" s="709"/>
      <c r="F27" s="709"/>
      <c r="G27" s="709"/>
      <c r="H27" s="709"/>
      <c r="I27" s="722">
        <f t="shared" si="0"/>
        <v>0</v>
      </c>
      <c r="J27" s="687"/>
    </row>
    <row r="28" spans="2:10" ht="16.2" thickBot="1" x14ac:dyDescent="0.4">
      <c r="B28" s="1163" t="s">
        <v>309</v>
      </c>
      <c r="C28" s="1164"/>
      <c r="D28" s="1164"/>
      <c r="E28" s="1164"/>
      <c r="F28" s="1164"/>
      <c r="G28" s="1164"/>
      <c r="H28" s="1191"/>
      <c r="I28" s="693">
        <f>SUM(I13:I27)</f>
        <v>0</v>
      </c>
      <c r="J28" s="613"/>
    </row>
    <row r="29" spans="2:10" x14ac:dyDescent="0.25">
      <c r="B29" s="690" t="s">
        <v>322</v>
      </c>
      <c r="C29" s="691"/>
      <c r="D29" s="691"/>
      <c r="E29" s="691"/>
      <c r="F29" s="691"/>
      <c r="G29" s="691"/>
      <c r="H29" s="691"/>
      <c r="I29" s="613"/>
      <c r="J29" s="613"/>
    </row>
    <row r="30" spans="2:10" x14ac:dyDescent="0.25">
      <c r="B30" s="613"/>
      <c r="C30" s="613"/>
      <c r="D30" s="613"/>
      <c r="E30" s="613"/>
      <c r="F30" s="613"/>
      <c r="G30" s="613"/>
      <c r="H30" s="613"/>
      <c r="I30" s="613"/>
      <c r="J30" s="613"/>
    </row>
    <row r="31" spans="2:10" ht="13.8" thickBot="1" x14ac:dyDescent="0.3">
      <c r="B31" s="613"/>
      <c r="C31" s="613"/>
      <c r="D31" s="613"/>
      <c r="E31" s="613"/>
      <c r="F31" s="613"/>
      <c r="G31" s="613"/>
      <c r="H31" s="613"/>
      <c r="I31" s="613"/>
      <c r="J31" s="613"/>
    </row>
    <row r="32" spans="2:10" ht="18.600000000000001" thickBot="1" x14ac:dyDescent="0.45">
      <c r="B32" s="624" t="s">
        <v>271</v>
      </c>
      <c r="C32" s="625"/>
      <c r="D32" s="613"/>
      <c r="E32" s="613"/>
      <c r="F32" s="613"/>
      <c r="G32" s="613"/>
      <c r="H32" s="613"/>
      <c r="I32" s="613"/>
      <c r="J32" s="613"/>
    </row>
    <row r="33" spans="1:10" ht="13.8" thickBot="1" x14ac:dyDescent="0.3">
      <c r="B33" s="710"/>
      <c r="C33" s="710"/>
      <c r="D33" s="613"/>
      <c r="E33" s="613"/>
      <c r="F33" s="613"/>
      <c r="G33" s="613"/>
      <c r="H33" s="613"/>
      <c r="I33" s="613"/>
      <c r="J33" s="613"/>
    </row>
    <row r="34" spans="1:10" ht="30.6" thickBot="1" x14ac:dyDescent="0.3">
      <c r="B34" s="628" t="s">
        <v>236</v>
      </c>
      <c r="C34" s="629" t="s">
        <v>323</v>
      </c>
      <c r="D34" s="711" t="s">
        <v>324</v>
      </c>
      <c r="E34" s="712" t="s">
        <v>325</v>
      </c>
      <c r="F34" s="613"/>
      <c r="G34" s="613"/>
      <c r="H34" s="613"/>
      <c r="I34" s="613"/>
      <c r="J34" s="613"/>
    </row>
    <row r="35" spans="1:10" ht="53.25" customHeight="1" thickBot="1" x14ac:dyDescent="0.3">
      <c r="A35" s="13" t="s">
        <v>259</v>
      </c>
      <c r="B35" s="683" t="s">
        <v>247</v>
      </c>
      <c r="C35" s="713">
        <v>500</v>
      </c>
      <c r="D35" s="713">
        <v>1</v>
      </c>
      <c r="E35" s="714">
        <f>(C35*D35)</f>
        <v>500</v>
      </c>
      <c r="F35" s="613"/>
      <c r="G35" s="613"/>
      <c r="H35" s="613"/>
      <c r="I35" s="613"/>
      <c r="J35" s="613"/>
    </row>
    <row r="36" spans="1:10" x14ac:dyDescent="0.25">
      <c r="B36" s="715"/>
      <c r="C36" s="612"/>
      <c r="D36" s="612"/>
      <c r="E36" s="723">
        <f t="shared" ref="E36:E39" si="1">(C36*D36)</f>
        <v>0</v>
      </c>
      <c r="F36" s="613"/>
      <c r="G36" s="613"/>
      <c r="H36" s="613"/>
      <c r="I36" s="613"/>
      <c r="J36" s="613"/>
    </row>
    <row r="37" spans="1:10" x14ac:dyDescent="0.25">
      <c r="B37" s="689"/>
      <c r="C37" s="615"/>
      <c r="D37" s="615"/>
      <c r="E37" s="723">
        <f t="shared" si="1"/>
        <v>0</v>
      </c>
      <c r="F37" s="613"/>
      <c r="G37" s="613"/>
      <c r="H37" s="613"/>
      <c r="I37" s="613"/>
      <c r="J37" s="613"/>
    </row>
    <row r="38" spans="1:10" x14ac:dyDescent="0.25">
      <c r="B38" s="689"/>
      <c r="C38" s="615"/>
      <c r="D38" s="615"/>
      <c r="E38" s="723">
        <f t="shared" si="1"/>
        <v>0</v>
      </c>
      <c r="F38" s="613"/>
      <c r="G38" s="613"/>
      <c r="H38" s="613"/>
      <c r="I38" s="613"/>
      <c r="J38" s="613"/>
    </row>
    <row r="39" spans="1:10" x14ac:dyDescent="0.25">
      <c r="B39" s="689"/>
      <c r="C39" s="615"/>
      <c r="D39" s="615"/>
      <c r="E39" s="723">
        <f t="shared" si="1"/>
        <v>0</v>
      </c>
      <c r="F39" s="613"/>
      <c r="G39" s="613"/>
      <c r="H39" s="613"/>
      <c r="I39" s="613"/>
      <c r="J39" s="613"/>
    </row>
    <row r="40" spans="1:10" x14ac:dyDescent="0.25">
      <c r="B40" s="689"/>
      <c r="C40" s="615"/>
      <c r="D40" s="615"/>
      <c r="E40" s="723">
        <f t="shared" ref="E40:E43" si="2">(C40*D40)</f>
        <v>0</v>
      </c>
      <c r="F40" s="613"/>
      <c r="G40" s="613"/>
      <c r="H40" s="613"/>
      <c r="I40" s="613"/>
      <c r="J40" s="613"/>
    </row>
    <row r="41" spans="1:10" x14ac:dyDescent="0.25">
      <c r="B41" s="689"/>
      <c r="C41" s="615"/>
      <c r="D41" s="615"/>
      <c r="E41" s="723">
        <f t="shared" si="2"/>
        <v>0</v>
      </c>
      <c r="F41" s="613"/>
      <c r="G41" s="613"/>
      <c r="H41" s="613"/>
      <c r="I41" s="613"/>
      <c r="J41" s="613"/>
    </row>
    <row r="42" spans="1:10" x14ac:dyDescent="0.25">
      <c r="B42" s="689"/>
      <c r="C42" s="615"/>
      <c r="D42" s="615"/>
      <c r="E42" s="723">
        <f t="shared" si="2"/>
        <v>0</v>
      </c>
      <c r="F42" s="613"/>
      <c r="G42" s="613"/>
      <c r="H42" s="613"/>
      <c r="I42" s="613"/>
      <c r="J42" s="613"/>
    </row>
    <row r="43" spans="1:10" ht="13.8" thickBot="1" x14ac:dyDescent="0.3">
      <c r="B43" s="716"/>
      <c r="C43" s="717"/>
      <c r="D43" s="717"/>
      <c r="E43" s="724">
        <f t="shared" si="2"/>
        <v>0</v>
      </c>
      <c r="F43" s="613"/>
      <c r="G43" s="613"/>
      <c r="H43" s="613"/>
      <c r="I43" s="613"/>
      <c r="J43" s="613"/>
    </row>
    <row r="44" spans="1:10" ht="16.2" thickBot="1" x14ac:dyDescent="0.4">
      <c r="B44" s="1163" t="s">
        <v>260</v>
      </c>
      <c r="C44" s="1164"/>
      <c r="D44" s="1164"/>
      <c r="E44" s="693">
        <f>SUM(E36:E43)</f>
        <v>0</v>
      </c>
      <c r="F44" s="613"/>
      <c r="G44" s="613"/>
      <c r="H44" s="613"/>
      <c r="I44" s="613"/>
      <c r="J44" s="613"/>
    </row>
    <row r="45" spans="1:10" ht="15.6" x14ac:dyDescent="0.35">
      <c r="B45" s="690" t="s">
        <v>313</v>
      </c>
      <c r="C45" s="691"/>
      <c r="D45" s="691"/>
      <c r="E45" s="691"/>
      <c r="F45" s="691"/>
      <c r="G45" s="613"/>
      <c r="H45" s="613"/>
      <c r="I45" s="613"/>
      <c r="J45" s="613"/>
    </row>
    <row r="46" spans="1:10" ht="16.8" x14ac:dyDescent="0.35">
      <c r="B46" s="718" t="s">
        <v>326</v>
      </c>
      <c r="C46" s="719"/>
      <c r="D46" s="719"/>
      <c r="E46" s="719"/>
      <c r="F46" s="719"/>
      <c r="G46" s="613"/>
      <c r="H46" s="613"/>
      <c r="I46" s="613"/>
      <c r="J46" s="613"/>
    </row>
    <row r="47" spans="1:10" x14ac:dyDescent="0.25">
      <c r="B47" s="613" t="s">
        <v>327</v>
      </c>
      <c r="C47" s="613"/>
      <c r="D47" s="613"/>
      <c r="E47" s="613"/>
      <c r="F47" s="613"/>
      <c r="G47" s="613"/>
      <c r="H47" s="613"/>
      <c r="I47" s="613"/>
      <c r="J47" s="613"/>
    </row>
    <row r="48" spans="1:10" x14ac:dyDescent="0.25">
      <c r="B48" s="613"/>
      <c r="C48" s="613"/>
      <c r="D48" s="613"/>
      <c r="E48" s="613"/>
      <c r="F48" s="613"/>
      <c r="G48" s="613"/>
      <c r="H48" s="613"/>
      <c r="I48" s="613"/>
      <c r="J48" s="613"/>
    </row>
    <row r="49" spans="2:10" x14ac:dyDescent="0.25">
      <c r="B49" s="613"/>
      <c r="C49" s="613"/>
      <c r="D49" s="613"/>
      <c r="E49" s="613"/>
      <c r="F49" s="613"/>
      <c r="G49" s="613"/>
      <c r="H49" s="613"/>
      <c r="I49" s="613"/>
      <c r="J49" s="613"/>
    </row>
    <row r="53" spans="2:10" x14ac:dyDescent="0.25">
      <c r="H53" s="238"/>
      <c r="I53" s="238"/>
    </row>
  </sheetData>
  <sheetProtection algorithmName="SHA-512" hashValue="tEEr7mZyxSRsJ+WNiYbf2gelb3M+v+R3R2ooXFaVWbK7EU5cBvnpPYSUgZuzZwhGnfy0VcExcLa0FSEFYUAAPQ==" saltValue="VYzkKM3Lg70YLiDeCTiV0w==" spinCount="100000" sheet="1" objects="1" scenarios="1"/>
  <mergeCells count="7">
    <mergeCell ref="I10:I11"/>
    <mergeCell ref="B28:H28"/>
    <mergeCell ref="B44:D44"/>
    <mergeCell ref="B10:B11"/>
    <mergeCell ref="C10:D10"/>
    <mergeCell ref="E10:F10"/>
    <mergeCell ref="G10:H10"/>
  </mergeCells>
  <phoneticPr fontId="7" type="noConversion"/>
  <dataValidations count="1">
    <dataValidation type="decimal" errorStyle="information" operator="greaterThan" allowBlank="1" showInputMessage="1" showErrorMessage="1" errorTitle="Incorrect Value" error="Value must be greater than zero." sqref="C36:D43 C13:H27" xr:uid="{E28B9D9A-8D78-4A39-9974-6960020A7E0B}">
      <formula1>0</formula1>
    </dataValidation>
  </dataValidations>
  <pageMargins left="0.75" right="0.75" top="1" bottom="1" header="0.5" footer="0.5"/>
  <pageSetup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C6B9"/>
  </sheetPr>
  <dimension ref="A2:M70"/>
  <sheetViews>
    <sheetView showGridLines="0" workbookViewId="0">
      <selection activeCell="L22" sqref="L22:L30"/>
    </sheetView>
  </sheetViews>
  <sheetFormatPr defaultRowHeight="13.2" x14ac:dyDescent="0.25"/>
  <cols>
    <col min="2" max="2" width="12.109375" customWidth="1"/>
    <col min="3" max="3" width="26.109375" customWidth="1"/>
    <col min="4" max="4" width="17.6640625" customWidth="1"/>
    <col min="5" max="5" width="16.5546875" customWidth="1"/>
    <col min="6" max="6" width="14.6640625" customWidth="1"/>
    <col min="7" max="7" width="11" customWidth="1"/>
    <col min="8" max="8" width="10.44140625" customWidth="1"/>
    <col min="9" max="9" width="14.6640625" customWidth="1"/>
    <col min="10" max="10" width="12.6640625" customWidth="1"/>
    <col min="11" max="11" width="14.33203125" customWidth="1"/>
    <col min="12" max="12" width="16.6640625" customWidth="1"/>
  </cols>
  <sheetData>
    <row r="2" spans="1:13" ht="15.6" x14ac:dyDescent="0.3">
      <c r="B2" s="2" t="s">
        <v>328</v>
      </c>
    </row>
    <row r="4" spans="1:13" x14ac:dyDescent="0.25">
      <c r="B4" s="223"/>
      <c r="C4" t="s">
        <v>225</v>
      </c>
      <c r="D4" s="226"/>
    </row>
    <row r="5" spans="1:13" ht="13.5" customHeight="1" x14ac:dyDescent="0.25">
      <c r="B5" s="224"/>
      <c r="C5" t="s">
        <v>226</v>
      </c>
      <c r="D5" s="226"/>
    </row>
    <row r="6" spans="1:13" ht="13.5" customHeight="1" x14ac:dyDescent="0.25">
      <c r="B6" s="125"/>
      <c r="C6" t="s">
        <v>7</v>
      </c>
      <c r="D6" s="226"/>
    </row>
    <row r="7" spans="1:13" ht="13.5" customHeight="1" thickBot="1" x14ac:dyDescent="0.3"/>
    <row r="8" spans="1:13" ht="18.600000000000001" thickBot="1" x14ac:dyDescent="0.45">
      <c r="B8" s="215" t="s">
        <v>329</v>
      </c>
      <c r="C8" s="235"/>
      <c r="D8" s="211"/>
    </row>
    <row r="10" spans="1:13" ht="13.8" thickBot="1" x14ac:dyDescent="0.3">
      <c r="B10" s="404" t="s">
        <v>330</v>
      </c>
      <c r="G10" s="238"/>
      <c r="I10" s="238"/>
      <c r="K10" s="238"/>
    </row>
    <row r="11" spans="1:13" ht="27" customHeight="1" x14ac:dyDescent="0.25">
      <c r="B11" s="1213" t="s">
        <v>236</v>
      </c>
      <c r="C11" s="1093" t="s">
        <v>331</v>
      </c>
      <c r="D11" s="1047"/>
      <c r="E11" s="1224"/>
      <c r="F11" s="1225" t="s">
        <v>332</v>
      </c>
      <c r="G11" s="1226"/>
      <c r="H11" s="1225" t="s">
        <v>333</v>
      </c>
      <c r="I11" s="1227"/>
      <c r="J11" s="1228" t="s">
        <v>334</v>
      </c>
      <c r="K11" s="1226"/>
      <c r="L11" s="1033" t="s">
        <v>235</v>
      </c>
    </row>
    <row r="12" spans="1:13" ht="27" thickBot="1" x14ac:dyDescent="0.3">
      <c r="B12" s="1214"/>
      <c r="C12" s="174" t="s">
        <v>335</v>
      </c>
      <c r="D12" s="229" t="s">
        <v>336</v>
      </c>
      <c r="E12" s="225" t="s">
        <v>321</v>
      </c>
      <c r="F12" s="227" t="s">
        <v>336</v>
      </c>
      <c r="G12" s="228" t="s">
        <v>321</v>
      </c>
      <c r="H12" s="227" t="s">
        <v>336</v>
      </c>
      <c r="I12" s="225" t="s">
        <v>321</v>
      </c>
      <c r="J12" s="227" t="s">
        <v>336</v>
      </c>
      <c r="K12" s="225" t="s">
        <v>321</v>
      </c>
      <c r="L12" s="1034"/>
    </row>
    <row r="13" spans="1:13" x14ac:dyDescent="0.25">
      <c r="A13" s="1024" t="s">
        <v>306</v>
      </c>
      <c r="B13" s="1232" t="s">
        <v>247</v>
      </c>
      <c r="C13" s="725" t="s">
        <v>337</v>
      </c>
      <c r="D13" s="726">
        <v>1000000</v>
      </c>
      <c r="E13" s="727">
        <v>0.83</v>
      </c>
      <c r="F13" s="1218">
        <v>1525</v>
      </c>
      <c r="G13" s="1221">
        <v>0.63</v>
      </c>
      <c r="H13" s="1218">
        <v>1</v>
      </c>
      <c r="I13" s="1221">
        <v>1</v>
      </c>
      <c r="J13" s="1218">
        <v>100</v>
      </c>
      <c r="K13" s="1221">
        <v>1</v>
      </c>
      <c r="L13" s="1229">
        <f>(C21 - (F13*G13) - (H13*I13) - (J13*K13)) * (44/12)</f>
        <v>3041694.37</v>
      </c>
      <c r="M13" s="613"/>
    </row>
    <row r="14" spans="1:13" x14ac:dyDescent="0.25">
      <c r="A14" s="1024"/>
      <c r="B14" s="1233"/>
      <c r="C14" s="728" t="s">
        <v>338</v>
      </c>
      <c r="D14" s="729">
        <v>500</v>
      </c>
      <c r="E14" s="730">
        <v>0.67</v>
      </c>
      <c r="F14" s="1219"/>
      <c r="G14" s="1222"/>
      <c r="H14" s="1219"/>
      <c r="I14" s="1222"/>
      <c r="J14" s="1219"/>
      <c r="K14" s="1222"/>
      <c r="L14" s="1230"/>
      <c r="M14" s="613"/>
    </row>
    <row r="15" spans="1:13" x14ac:dyDescent="0.25">
      <c r="A15" s="1024"/>
      <c r="B15" s="1233"/>
      <c r="C15" s="728" t="s">
        <v>339</v>
      </c>
      <c r="D15" s="729">
        <v>23</v>
      </c>
      <c r="E15" s="730">
        <v>0.12</v>
      </c>
      <c r="F15" s="1219"/>
      <c r="G15" s="1222"/>
      <c r="H15" s="1219"/>
      <c r="I15" s="1222"/>
      <c r="J15" s="1219"/>
      <c r="K15" s="1222"/>
      <c r="L15" s="1230"/>
      <c r="M15" s="613"/>
    </row>
    <row r="16" spans="1:13" x14ac:dyDescent="0.25">
      <c r="A16" s="1024"/>
      <c r="B16" s="1233"/>
      <c r="C16" s="728" t="s">
        <v>340</v>
      </c>
      <c r="D16" s="729">
        <v>25</v>
      </c>
      <c r="E16" s="730">
        <v>0.13</v>
      </c>
      <c r="F16" s="1219"/>
      <c r="G16" s="1222"/>
      <c r="H16" s="1219"/>
      <c r="I16" s="1222"/>
      <c r="J16" s="1219"/>
      <c r="K16" s="1222"/>
      <c r="L16" s="1230"/>
      <c r="M16" s="613"/>
    </row>
    <row r="17" spans="1:13" x14ac:dyDescent="0.25">
      <c r="A17" s="1024"/>
      <c r="B17" s="1233"/>
      <c r="C17" s="728" t="s">
        <v>341</v>
      </c>
      <c r="D17" s="729">
        <v>10</v>
      </c>
      <c r="E17" s="730">
        <v>0.82</v>
      </c>
      <c r="F17" s="1219"/>
      <c r="G17" s="1222"/>
      <c r="H17" s="1219"/>
      <c r="I17" s="1222"/>
      <c r="J17" s="1219"/>
      <c r="K17" s="1222"/>
      <c r="L17" s="1230"/>
      <c r="M17" s="613"/>
    </row>
    <row r="18" spans="1:13" x14ac:dyDescent="0.25">
      <c r="A18" s="1024"/>
      <c r="B18" s="1233"/>
      <c r="C18" s="728" t="s">
        <v>342</v>
      </c>
      <c r="D18" s="729">
        <v>0</v>
      </c>
      <c r="E18" s="730">
        <v>0</v>
      </c>
      <c r="F18" s="1219"/>
      <c r="G18" s="1222"/>
      <c r="H18" s="1219"/>
      <c r="I18" s="1222"/>
      <c r="J18" s="1219"/>
      <c r="K18" s="1222"/>
      <c r="L18" s="1230"/>
      <c r="M18" s="613"/>
    </row>
    <row r="19" spans="1:13" x14ac:dyDescent="0.25">
      <c r="A19" s="1024"/>
      <c r="B19" s="1233"/>
      <c r="C19" s="728" t="s">
        <v>343</v>
      </c>
      <c r="D19" s="729">
        <v>0</v>
      </c>
      <c r="E19" s="730">
        <v>0</v>
      </c>
      <c r="F19" s="1219"/>
      <c r="G19" s="1222"/>
      <c r="H19" s="1219"/>
      <c r="I19" s="1222"/>
      <c r="J19" s="1219"/>
      <c r="K19" s="1222"/>
      <c r="L19" s="1230"/>
      <c r="M19" s="613"/>
    </row>
    <row r="20" spans="1:13" x14ac:dyDescent="0.25">
      <c r="A20" s="1024"/>
      <c r="B20" s="1233"/>
      <c r="C20" s="731" t="s">
        <v>130</v>
      </c>
      <c r="D20" s="732">
        <v>565</v>
      </c>
      <c r="E20" s="733">
        <v>0.47</v>
      </c>
      <c r="F20" s="1219"/>
      <c r="G20" s="1222"/>
      <c r="H20" s="1219"/>
      <c r="I20" s="1222"/>
      <c r="J20" s="1219"/>
      <c r="K20" s="1222"/>
      <c r="L20" s="1230"/>
      <c r="M20" s="613"/>
    </row>
    <row r="21" spans="1:13" ht="13.8" thickBot="1" x14ac:dyDescent="0.3">
      <c r="A21" s="1024"/>
      <c r="B21" s="734"/>
      <c r="C21" s="1215">
        <f>(D13*E13) + (D14*E14) + (D15*E15) + (D16*E16)+(D17*E17) +(D18*E18)+(D19*E19)+(D20*E20)</f>
        <v>830614.76</v>
      </c>
      <c r="D21" s="1216"/>
      <c r="E21" s="1217"/>
      <c r="F21" s="1220"/>
      <c r="G21" s="1223"/>
      <c r="H21" s="1220"/>
      <c r="I21" s="1223"/>
      <c r="J21" s="1220"/>
      <c r="K21" s="1223"/>
      <c r="L21" s="1231"/>
      <c r="M21" s="613"/>
    </row>
    <row r="22" spans="1:13" x14ac:dyDescent="0.25">
      <c r="B22" s="1201"/>
      <c r="C22" s="735"/>
      <c r="D22" s="736"/>
      <c r="E22" s="737"/>
      <c r="F22" s="1234"/>
      <c r="G22" s="1235"/>
      <c r="H22" s="1234"/>
      <c r="I22" s="1235"/>
      <c r="J22" s="1234"/>
      <c r="K22" s="1235"/>
      <c r="L22" s="1212">
        <f t="shared" ref="L22" si="0">(C30 - (F22*G22) - (H22*I22) - (J22*K22)) * (44/12)</f>
        <v>0</v>
      </c>
      <c r="M22" s="613"/>
    </row>
    <row r="23" spans="1:13" x14ac:dyDescent="0.25">
      <c r="B23" s="1201"/>
      <c r="C23" s="738"/>
      <c r="D23" s="739"/>
      <c r="E23" s="740"/>
      <c r="F23" s="1204"/>
      <c r="G23" s="1207"/>
      <c r="H23" s="1204"/>
      <c r="I23" s="1207"/>
      <c r="J23" s="1204"/>
      <c r="K23" s="1207"/>
      <c r="L23" s="1198"/>
      <c r="M23" s="613"/>
    </row>
    <row r="24" spans="1:13" x14ac:dyDescent="0.25">
      <c r="B24" s="1201"/>
      <c r="C24" s="738"/>
      <c r="D24" s="739"/>
      <c r="E24" s="740"/>
      <c r="F24" s="1204"/>
      <c r="G24" s="1207"/>
      <c r="H24" s="1204"/>
      <c r="I24" s="1207"/>
      <c r="J24" s="1204"/>
      <c r="K24" s="1207"/>
      <c r="L24" s="1198"/>
      <c r="M24" s="613"/>
    </row>
    <row r="25" spans="1:13" x14ac:dyDescent="0.25">
      <c r="B25" s="1201"/>
      <c r="C25" s="738"/>
      <c r="D25" s="739"/>
      <c r="E25" s="740"/>
      <c r="F25" s="1204"/>
      <c r="G25" s="1207"/>
      <c r="H25" s="1204"/>
      <c r="I25" s="1207"/>
      <c r="J25" s="1204"/>
      <c r="K25" s="1207"/>
      <c r="L25" s="1198"/>
      <c r="M25" s="613"/>
    </row>
    <row r="26" spans="1:13" x14ac:dyDescent="0.25">
      <c r="B26" s="1201"/>
      <c r="C26" s="738"/>
      <c r="D26" s="739"/>
      <c r="E26" s="740"/>
      <c r="F26" s="1204"/>
      <c r="G26" s="1207"/>
      <c r="H26" s="1204"/>
      <c r="I26" s="1207"/>
      <c r="J26" s="1204"/>
      <c r="K26" s="1207"/>
      <c r="L26" s="1198"/>
      <c r="M26" s="613"/>
    </row>
    <row r="27" spans="1:13" x14ac:dyDescent="0.25">
      <c r="B27" s="1201"/>
      <c r="C27" s="741"/>
      <c r="D27" s="739"/>
      <c r="E27" s="740"/>
      <c r="F27" s="1204"/>
      <c r="G27" s="1207"/>
      <c r="H27" s="1204"/>
      <c r="I27" s="1207"/>
      <c r="J27" s="1204"/>
      <c r="K27" s="1207"/>
      <c r="L27" s="1198"/>
      <c r="M27" s="613"/>
    </row>
    <row r="28" spans="1:13" x14ac:dyDescent="0.25">
      <c r="B28" s="1201"/>
      <c r="C28" s="738"/>
      <c r="D28" s="739"/>
      <c r="E28" s="740"/>
      <c r="F28" s="1204"/>
      <c r="G28" s="1207"/>
      <c r="H28" s="1204"/>
      <c r="I28" s="1207"/>
      <c r="J28" s="1204"/>
      <c r="K28" s="1207"/>
      <c r="L28" s="1198"/>
      <c r="M28" s="613"/>
    </row>
    <row r="29" spans="1:13" x14ac:dyDescent="0.25">
      <c r="B29" s="1202"/>
      <c r="C29" s="742"/>
      <c r="D29" s="743"/>
      <c r="E29" s="744"/>
      <c r="F29" s="1204"/>
      <c r="G29" s="1207"/>
      <c r="H29" s="1204"/>
      <c r="I29" s="1207"/>
      <c r="J29" s="1204"/>
      <c r="K29" s="1207"/>
      <c r="L29" s="1198"/>
      <c r="M29" s="613"/>
    </row>
    <row r="30" spans="1:13" ht="13.8" thickBot="1" x14ac:dyDescent="0.3">
      <c r="B30" s="745"/>
      <c r="C30" s="1209">
        <f>(D22*E22) + (D23*E23) + (D24*E24) + (D25*E25)+(D26*E26) +(D27*E27)+(D28*E28)+(D29*E29)</f>
        <v>0</v>
      </c>
      <c r="D30" s="1210"/>
      <c r="E30" s="1211"/>
      <c r="F30" s="1205"/>
      <c r="G30" s="1208"/>
      <c r="H30" s="1205"/>
      <c r="I30" s="1208"/>
      <c r="J30" s="1205"/>
      <c r="K30" s="1208"/>
      <c r="L30" s="1199"/>
      <c r="M30" s="613"/>
    </row>
    <row r="31" spans="1:13" x14ac:dyDescent="0.25">
      <c r="B31" s="1200"/>
      <c r="C31" s="746"/>
      <c r="D31" s="747"/>
      <c r="E31" s="748"/>
      <c r="F31" s="1203"/>
      <c r="G31" s="1206"/>
      <c r="H31" s="1203"/>
      <c r="I31" s="1206"/>
      <c r="J31" s="1203"/>
      <c r="K31" s="1206"/>
      <c r="L31" s="1197">
        <f t="shared" ref="L31" si="1">(C39 - (F31*G31) - (H31*I31) - (J31*K31)) * (44/12)</f>
        <v>0</v>
      </c>
      <c r="M31" s="613"/>
    </row>
    <row r="32" spans="1:13" x14ac:dyDescent="0.25">
      <c r="B32" s="1201"/>
      <c r="C32" s="738"/>
      <c r="D32" s="739"/>
      <c r="E32" s="740"/>
      <c r="F32" s="1204"/>
      <c r="G32" s="1207"/>
      <c r="H32" s="1204"/>
      <c r="I32" s="1207"/>
      <c r="J32" s="1204"/>
      <c r="K32" s="1207"/>
      <c r="L32" s="1198"/>
      <c r="M32" s="613"/>
    </row>
    <row r="33" spans="2:13" x14ac:dyDescent="0.25">
      <c r="B33" s="1201"/>
      <c r="C33" s="738"/>
      <c r="D33" s="739"/>
      <c r="E33" s="740"/>
      <c r="F33" s="1204"/>
      <c r="G33" s="1207"/>
      <c r="H33" s="1204"/>
      <c r="I33" s="1207"/>
      <c r="J33" s="1204"/>
      <c r="K33" s="1207"/>
      <c r="L33" s="1198"/>
      <c r="M33" s="613"/>
    </row>
    <row r="34" spans="2:13" x14ac:dyDescent="0.25">
      <c r="B34" s="1201"/>
      <c r="C34" s="738"/>
      <c r="D34" s="739"/>
      <c r="E34" s="740"/>
      <c r="F34" s="1204"/>
      <c r="G34" s="1207"/>
      <c r="H34" s="1204"/>
      <c r="I34" s="1207"/>
      <c r="J34" s="1204"/>
      <c r="K34" s="1207"/>
      <c r="L34" s="1198"/>
      <c r="M34" s="613"/>
    </row>
    <row r="35" spans="2:13" x14ac:dyDescent="0.25">
      <c r="B35" s="1201"/>
      <c r="C35" s="738"/>
      <c r="D35" s="739"/>
      <c r="E35" s="740"/>
      <c r="F35" s="1204"/>
      <c r="G35" s="1207"/>
      <c r="H35" s="1204"/>
      <c r="I35" s="1207"/>
      <c r="J35" s="1204"/>
      <c r="K35" s="1207"/>
      <c r="L35" s="1198"/>
      <c r="M35" s="613"/>
    </row>
    <row r="36" spans="2:13" x14ac:dyDescent="0.25">
      <c r="B36" s="1201"/>
      <c r="C36" s="738"/>
      <c r="D36" s="739"/>
      <c r="E36" s="740"/>
      <c r="F36" s="1204"/>
      <c r="G36" s="1207"/>
      <c r="H36" s="1204"/>
      <c r="I36" s="1207"/>
      <c r="J36" s="1204"/>
      <c r="K36" s="1207"/>
      <c r="L36" s="1198"/>
      <c r="M36" s="613"/>
    </row>
    <row r="37" spans="2:13" x14ac:dyDescent="0.25">
      <c r="B37" s="1201"/>
      <c r="C37" s="738"/>
      <c r="D37" s="739"/>
      <c r="E37" s="740"/>
      <c r="F37" s="1204"/>
      <c r="G37" s="1207"/>
      <c r="H37" s="1204"/>
      <c r="I37" s="1207"/>
      <c r="J37" s="1204"/>
      <c r="K37" s="1207"/>
      <c r="L37" s="1198"/>
      <c r="M37" s="613"/>
    </row>
    <row r="38" spans="2:13" x14ac:dyDescent="0.25">
      <c r="B38" s="1202"/>
      <c r="C38" s="742"/>
      <c r="D38" s="743"/>
      <c r="E38" s="744"/>
      <c r="F38" s="1204"/>
      <c r="G38" s="1207"/>
      <c r="H38" s="1204"/>
      <c r="I38" s="1207"/>
      <c r="J38" s="1204"/>
      <c r="K38" s="1207"/>
      <c r="L38" s="1198"/>
      <c r="M38" s="613"/>
    </row>
    <row r="39" spans="2:13" ht="13.8" thickBot="1" x14ac:dyDescent="0.3">
      <c r="B39" s="745"/>
      <c r="C39" s="1209">
        <f>(D31*E31) + (D32*E32) + (D33*E33) + (D34*E34)+(D35*E35) +(D36*E36)+(D37*E37)+(D38*E38)</f>
        <v>0</v>
      </c>
      <c r="D39" s="1210"/>
      <c r="E39" s="1211"/>
      <c r="F39" s="1205"/>
      <c r="G39" s="1208"/>
      <c r="H39" s="1205"/>
      <c r="I39" s="1208"/>
      <c r="J39" s="1205"/>
      <c r="K39" s="1208"/>
      <c r="L39" s="1199"/>
      <c r="M39" s="613"/>
    </row>
    <row r="40" spans="2:13" x14ac:dyDescent="0.25">
      <c r="B40" s="1200"/>
      <c r="C40" s="746"/>
      <c r="D40" s="747"/>
      <c r="E40" s="748"/>
      <c r="F40" s="1203"/>
      <c r="G40" s="1206"/>
      <c r="H40" s="1203"/>
      <c r="I40" s="1206"/>
      <c r="J40" s="1203"/>
      <c r="K40" s="1206"/>
      <c r="L40" s="1197">
        <f t="shared" ref="L40" si="2">(C48 - (F40*G40) - (H40*I40) - (J40*K40)) * (44/12)</f>
        <v>0</v>
      </c>
      <c r="M40" s="613"/>
    </row>
    <row r="41" spans="2:13" x14ac:dyDescent="0.25">
      <c r="B41" s="1201"/>
      <c r="C41" s="738"/>
      <c r="D41" s="739"/>
      <c r="E41" s="740"/>
      <c r="F41" s="1204"/>
      <c r="G41" s="1207"/>
      <c r="H41" s="1204"/>
      <c r="I41" s="1207"/>
      <c r="J41" s="1204"/>
      <c r="K41" s="1207"/>
      <c r="L41" s="1198"/>
      <c r="M41" s="613"/>
    </row>
    <row r="42" spans="2:13" x14ac:dyDescent="0.25">
      <c r="B42" s="1201"/>
      <c r="C42" s="738"/>
      <c r="D42" s="739"/>
      <c r="E42" s="740"/>
      <c r="F42" s="1204"/>
      <c r="G42" s="1207"/>
      <c r="H42" s="1204"/>
      <c r="I42" s="1207"/>
      <c r="J42" s="1204"/>
      <c r="K42" s="1207"/>
      <c r="L42" s="1198"/>
      <c r="M42" s="613"/>
    </row>
    <row r="43" spans="2:13" x14ac:dyDescent="0.25">
      <c r="B43" s="1201"/>
      <c r="C43" s="738"/>
      <c r="D43" s="739"/>
      <c r="E43" s="740"/>
      <c r="F43" s="1204"/>
      <c r="G43" s="1207"/>
      <c r="H43" s="1204"/>
      <c r="I43" s="1207"/>
      <c r="J43" s="1204"/>
      <c r="K43" s="1207"/>
      <c r="L43" s="1198"/>
      <c r="M43" s="613"/>
    </row>
    <row r="44" spans="2:13" x14ac:dyDescent="0.25">
      <c r="B44" s="1201"/>
      <c r="C44" s="738"/>
      <c r="D44" s="739"/>
      <c r="E44" s="740"/>
      <c r="F44" s="1204"/>
      <c r="G44" s="1207"/>
      <c r="H44" s="1204"/>
      <c r="I44" s="1207"/>
      <c r="J44" s="1204"/>
      <c r="K44" s="1207"/>
      <c r="L44" s="1198"/>
      <c r="M44" s="613"/>
    </row>
    <row r="45" spans="2:13" x14ac:dyDescent="0.25">
      <c r="B45" s="1201"/>
      <c r="C45" s="738"/>
      <c r="D45" s="739"/>
      <c r="E45" s="740"/>
      <c r="F45" s="1204"/>
      <c r="G45" s="1207"/>
      <c r="H45" s="1204"/>
      <c r="I45" s="1207"/>
      <c r="J45" s="1204"/>
      <c r="K45" s="1207"/>
      <c r="L45" s="1198"/>
      <c r="M45" s="613"/>
    </row>
    <row r="46" spans="2:13" x14ac:dyDescent="0.25">
      <c r="B46" s="1201"/>
      <c r="C46" s="738"/>
      <c r="D46" s="739"/>
      <c r="E46" s="740"/>
      <c r="F46" s="1204"/>
      <c r="G46" s="1207"/>
      <c r="H46" s="1204"/>
      <c r="I46" s="1207"/>
      <c r="J46" s="1204"/>
      <c r="K46" s="1207"/>
      <c r="L46" s="1198"/>
      <c r="M46" s="613"/>
    </row>
    <row r="47" spans="2:13" x14ac:dyDescent="0.25">
      <c r="B47" s="1202"/>
      <c r="C47" s="742"/>
      <c r="D47" s="743"/>
      <c r="E47" s="744"/>
      <c r="F47" s="1204"/>
      <c r="G47" s="1207"/>
      <c r="H47" s="1204"/>
      <c r="I47" s="1207"/>
      <c r="J47" s="1204"/>
      <c r="K47" s="1207"/>
      <c r="L47" s="1198"/>
      <c r="M47" s="613"/>
    </row>
    <row r="48" spans="2:13" ht="13.8" thickBot="1" x14ac:dyDescent="0.3">
      <c r="B48" s="745"/>
      <c r="C48" s="1209">
        <f>(D40*E40) + (D41*E41) + (D42*E42) + (D43*E43)+(D44*E44) +(D45*E45)+(D46*E46)+(D47*E47)</f>
        <v>0</v>
      </c>
      <c r="D48" s="1210"/>
      <c r="E48" s="1211"/>
      <c r="F48" s="1205"/>
      <c r="G48" s="1208"/>
      <c r="H48" s="1205"/>
      <c r="I48" s="1208"/>
      <c r="J48" s="1205"/>
      <c r="K48" s="1208"/>
      <c r="L48" s="1199"/>
      <c r="M48" s="613"/>
    </row>
    <row r="49" spans="1:13" ht="16.2" thickBot="1" x14ac:dyDescent="0.4">
      <c r="B49" s="1163" t="s">
        <v>309</v>
      </c>
      <c r="C49" s="1164"/>
      <c r="D49" s="1164"/>
      <c r="E49" s="1164"/>
      <c r="F49" s="1164"/>
      <c r="G49" s="1164"/>
      <c r="H49" s="1164"/>
      <c r="I49" s="1164"/>
      <c r="J49" s="1164"/>
      <c r="K49" s="1191"/>
      <c r="L49" s="756">
        <f>SUM(L22:L48)</f>
        <v>0</v>
      </c>
      <c r="M49" s="613"/>
    </row>
    <row r="50" spans="1:13" x14ac:dyDescent="0.25">
      <c r="B50" s="623" t="s">
        <v>254</v>
      </c>
      <c r="C50" s="691"/>
      <c r="D50" s="749"/>
      <c r="E50" s="749"/>
      <c r="F50" s="749"/>
      <c r="G50" s="749"/>
      <c r="H50" s="749"/>
      <c r="I50" s="749"/>
      <c r="J50" s="749"/>
      <c r="K50" s="749"/>
      <c r="L50" s="749"/>
      <c r="M50" s="613"/>
    </row>
    <row r="51" spans="1:13" ht="13.8" thickBot="1" x14ac:dyDescent="0.3">
      <c r="B51" s="613"/>
      <c r="C51" s="613"/>
      <c r="D51" s="613"/>
      <c r="E51" s="613"/>
      <c r="F51" s="613"/>
      <c r="G51" s="613"/>
      <c r="H51" s="613"/>
      <c r="I51" s="613"/>
      <c r="J51" s="613"/>
      <c r="K51" s="613"/>
      <c r="L51" s="613"/>
      <c r="M51" s="613"/>
    </row>
    <row r="52" spans="1:13" ht="18.600000000000001" thickBot="1" x14ac:dyDescent="0.45">
      <c r="B52" s="679" t="s">
        <v>344</v>
      </c>
      <c r="C52" s="750"/>
      <c r="D52" s="625"/>
      <c r="E52" s="613"/>
      <c r="F52" s="613"/>
      <c r="G52" s="613"/>
      <c r="H52" s="613"/>
      <c r="I52" s="613"/>
      <c r="J52" s="613"/>
      <c r="K52" s="613"/>
      <c r="L52" s="613"/>
      <c r="M52" s="613"/>
    </row>
    <row r="53" spans="1:13" ht="15.6" x14ac:dyDescent="0.3">
      <c r="B53" s="751"/>
      <c r="C53" s="613"/>
      <c r="D53" s="613"/>
      <c r="E53" s="613"/>
      <c r="F53" s="613"/>
      <c r="G53" s="613"/>
      <c r="H53" s="613"/>
      <c r="I53" s="613"/>
      <c r="J53" s="613"/>
      <c r="K53" s="613"/>
      <c r="L53" s="613"/>
      <c r="M53" s="613"/>
    </row>
    <row r="54" spans="1:13" ht="13.8" thickBot="1" x14ac:dyDescent="0.3">
      <c r="B54" s="613"/>
      <c r="C54" s="613"/>
      <c r="D54" s="613"/>
      <c r="E54" s="613"/>
      <c r="F54" s="613"/>
      <c r="G54" s="613"/>
      <c r="H54" s="613"/>
      <c r="I54" s="613"/>
      <c r="J54" s="613"/>
      <c r="K54" s="613"/>
      <c r="L54" s="613"/>
      <c r="M54" s="613"/>
    </row>
    <row r="55" spans="1:13" ht="42.6" thickBot="1" x14ac:dyDescent="0.3">
      <c r="B55" s="681" t="s">
        <v>236</v>
      </c>
      <c r="C55" s="682" t="s">
        <v>345</v>
      </c>
      <c r="D55" s="711" t="s">
        <v>346</v>
      </c>
      <c r="E55" s="631" t="s">
        <v>325</v>
      </c>
      <c r="F55" s="613"/>
      <c r="G55" s="613"/>
      <c r="H55" s="613"/>
      <c r="I55" s="613"/>
      <c r="J55" s="613"/>
      <c r="K55" s="613"/>
      <c r="L55" s="613"/>
      <c r="M55" s="613"/>
    </row>
    <row r="56" spans="1:13" ht="12.75" customHeight="1" thickBot="1" x14ac:dyDescent="0.3">
      <c r="A56" s="13" t="s">
        <v>347</v>
      </c>
      <c r="B56" s="633" t="s">
        <v>247</v>
      </c>
      <c r="C56" s="752">
        <v>500</v>
      </c>
      <c r="D56" s="753">
        <v>5.0000000000000001E-3</v>
      </c>
      <c r="E56" s="754">
        <f>(C56*D56)</f>
        <v>2.5</v>
      </c>
      <c r="F56" s="613"/>
      <c r="G56" s="613"/>
      <c r="H56" s="613"/>
      <c r="I56" s="613"/>
      <c r="J56" s="613"/>
      <c r="K56" s="613"/>
      <c r="L56" s="613"/>
      <c r="M56" s="613"/>
    </row>
    <row r="57" spans="1:13" x14ac:dyDescent="0.25">
      <c r="B57" s="688"/>
      <c r="C57" s="612"/>
      <c r="D57" s="736"/>
      <c r="E57" s="757">
        <f t="shared" ref="E57:E64" si="3">(C57*D57)</f>
        <v>0</v>
      </c>
      <c r="F57" s="613"/>
      <c r="G57" s="613"/>
      <c r="H57" s="613"/>
      <c r="I57" s="613"/>
      <c r="J57" s="613"/>
      <c r="K57" s="613"/>
      <c r="L57" s="613"/>
      <c r="M57" s="613"/>
    </row>
    <row r="58" spans="1:13" x14ac:dyDescent="0.25">
      <c r="B58" s="689"/>
      <c r="C58" s="615"/>
      <c r="D58" s="739"/>
      <c r="E58" s="758">
        <f t="shared" si="3"/>
        <v>0</v>
      </c>
      <c r="F58" s="613"/>
      <c r="G58" s="613"/>
      <c r="H58" s="613"/>
      <c r="I58" s="613"/>
      <c r="J58" s="613"/>
      <c r="K58" s="613"/>
      <c r="L58" s="613"/>
      <c r="M58" s="613"/>
    </row>
    <row r="59" spans="1:13" x14ac:dyDescent="0.25">
      <c r="B59" s="689"/>
      <c r="C59" s="615"/>
      <c r="D59" s="739"/>
      <c r="E59" s="758">
        <f t="shared" si="3"/>
        <v>0</v>
      </c>
      <c r="F59" s="613"/>
      <c r="G59" s="613"/>
      <c r="H59" s="613"/>
      <c r="I59" s="613"/>
      <c r="J59" s="613"/>
      <c r="K59" s="613"/>
      <c r="L59" s="613"/>
      <c r="M59" s="613"/>
    </row>
    <row r="60" spans="1:13" x14ac:dyDescent="0.25">
      <c r="B60" s="689"/>
      <c r="C60" s="615"/>
      <c r="D60" s="739"/>
      <c r="E60" s="758">
        <f t="shared" si="3"/>
        <v>0</v>
      </c>
      <c r="F60" s="613"/>
      <c r="G60" s="613"/>
      <c r="H60" s="613"/>
      <c r="I60" s="613"/>
      <c r="J60" s="613"/>
      <c r="K60" s="613"/>
      <c r="L60" s="613"/>
      <c r="M60" s="613"/>
    </row>
    <row r="61" spans="1:13" x14ac:dyDescent="0.25">
      <c r="B61" s="689"/>
      <c r="C61" s="615"/>
      <c r="D61" s="739"/>
      <c r="E61" s="758">
        <f t="shared" si="3"/>
        <v>0</v>
      </c>
      <c r="F61" s="613"/>
      <c r="G61" s="613"/>
      <c r="H61" s="613"/>
      <c r="I61" s="613"/>
      <c r="J61" s="613"/>
      <c r="K61" s="613"/>
      <c r="L61" s="613"/>
      <c r="M61" s="613"/>
    </row>
    <row r="62" spans="1:13" x14ac:dyDescent="0.25">
      <c r="B62" s="689"/>
      <c r="C62" s="615"/>
      <c r="D62" s="739"/>
      <c r="E62" s="758">
        <f t="shared" si="3"/>
        <v>0</v>
      </c>
      <c r="F62" s="613"/>
      <c r="G62" s="613"/>
      <c r="H62" s="613"/>
      <c r="I62" s="613"/>
      <c r="J62" s="613"/>
      <c r="K62" s="613"/>
      <c r="L62" s="613"/>
      <c r="M62" s="613"/>
    </row>
    <row r="63" spans="1:13" x14ac:dyDescent="0.25">
      <c r="B63" s="689"/>
      <c r="C63" s="615"/>
      <c r="D63" s="739"/>
      <c r="E63" s="758">
        <f t="shared" si="3"/>
        <v>0</v>
      </c>
      <c r="F63" s="613"/>
      <c r="G63" s="613"/>
      <c r="H63" s="613"/>
      <c r="I63" s="613"/>
      <c r="J63" s="613"/>
      <c r="K63" s="613"/>
      <c r="L63" s="613"/>
      <c r="M63" s="613"/>
    </row>
    <row r="64" spans="1:13" ht="13.8" thickBot="1" x14ac:dyDescent="0.3">
      <c r="B64" s="716"/>
      <c r="C64" s="717"/>
      <c r="D64" s="755"/>
      <c r="E64" s="759">
        <f t="shared" si="3"/>
        <v>0</v>
      </c>
      <c r="F64" s="613"/>
      <c r="G64" s="613"/>
      <c r="H64" s="613"/>
      <c r="I64" s="613"/>
      <c r="J64" s="613"/>
      <c r="K64" s="613"/>
      <c r="L64" s="613"/>
      <c r="M64" s="613"/>
    </row>
    <row r="65" spans="2:13" ht="16.2" thickBot="1" x14ac:dyDescent="0.3">
      <c r="B65" s="1064" t="s">
        <v>260</v>
      </c>
      <c r="C65" s="1065"/>
      <c r="D65" s="1065"/>
      <c r="E65" s="760">
        <f>SUM(E57:E64)</f>
        <v>0</v>
      </c>
      <c r="F65" s="613"/>
      <c r="G65" s="613"/>
      <c r="H65" s="613"/>
      <c r="I65" s="613"/>
      <c r="J65" s="613"/>
      <c r="K65" s="613"/>
      <c r="L65" s="613"/>
      <c r="M65" s="613"/>
    </row>
    <row r="66" spans="2:13" ht="15.6" x14ac:dyDescent="0.35">
      <c r="B66" s="210" t="s">
        <v>313</v>
      </c>
      <c r="C66" s="10"/>
      <c r="D66" s="222"/>
      <c r="E66" s="222"/>
      <c r="F66" s="222"/>
    </row>
    <row r="68" spans="2:13" x14ac:dyDescent="0.25">
      <c r="B68" s="1" t="s">
        <v>348</v>
      </c>
    </row>
    <row r="69" spans="2:13" ht="15.6" x14ac:dyDescent="0.35">
      <c r="C69" s="234" t="s">
        <v>349</v>
      </c>
    </row>
    <row r="70" spans="2:13" ht="15.6" x14ac:dyDescent="0.35">
      <c r="C70" s="234" t="s">
        <v>350</v>
      </c>
    </row>
  </sheetData>
  <sheetProtection algorithmName="SHA-512" hashValue="qHXRYGw3w7x6f/fAKitFQ3AKPO/R7/P9x5IKqSHzpWnGSkUlrjgfC9a3RkskzFz9VpplKeJoK7l3xIhBD8GE+w==" saltValue="opq/c5sMrbB0MJ3vUm0xGg==" spinCount="100000" sheet="1" objects="1" scenarios="1"/>
  <mergeCells count="45">
    <mergeCell ref="A13:A21"/>
    <mergeCell ref="B13:B20"/>
    <mergeCell ref="B49:K49"/>
    <mergeCell ref="B65:D65"/>
    <mergeCell ref="C30:E30"/>
    <mergeCell ref="G31:G39"/>
    <mergeCell ref="H31:H39"/>
    <mergeCell ref="C39:E39"/>
    <mergeCell ref="B22:B29"/>
    <mergeCell ref="F22:F30"/>
    <mergeCell ref="G22:G30"/>
    <mergeCell ref="H22:H30"/>
    <mergeCell ref="I22:I30"/>
    <mergeCell ref="J22:J30"/>
    <mergeCell ref="K31:K39"/>
    <mergeCell ref="K22:K30"/>
    <mergeCell ref="L22:L30"/>
    <mergeCell ref="L11:L12"/>
    <mergeCell ref="B11:B12"/>
    <mergeCell ref="C21:E21"/>
    <mergeCell ref="F13:F21"/>
    <mergeCell ref="G13:G21"/>
    <mergeCell ref="H13:H21"/>
    <mergeCell ref="I13:I21"/>
    <mergeCell ref="J13:J21"/>
    <mergeCell ref="K13:K21"/>
    <mergeCell ref="C11:E11"/>
    <mergeCell ref="F11:G11"/>
    <mergeCell ref="H11:I11"/>
    <mergeCell ref="J11:K11"/>
    <mergeCell ref="L13:L21"/>
    <mergeCell ref="I31:I39"/>
    <mergeCell ref="J31:J39"/>
    <mergeCell ref="L31:L39"/>
    <mergeCell ref="B31:B38"/>
    <mergeCell ref="F31:F39"/>
    <mergeCell ref="L40:L48"/>
    <mergeCell ref="B40:B47"/>
    <mergeCell ref="F40:F48"/>
    <mergeCell ref="G40:G48"/>
    <mergeCell ref="H40:H48"/>
    <mergeCell ref="C48:E48"/>
    <mergeCell ref="I40:I48"/>
    <mergeCell ref="J40:J48"/>
    <mergeCell ref="K40:K48"/>
  </mergeCells>
  <phoneticPr fontId="7" type="noConversion"/>
  <dataValidations count="1">
    <dataValidation type="decimal" errorStyle="information" operator="greaterThan" allowBlank="1" showInputMessage="1" showErrorMessage="1" errorTitle="Incorrect Value" error="Value must be greater than zero." sqref="D22:E29 D31:E38 D40:E47 F22:K48 C57:D64" xr:uid="{3E08721D-7DB9-48C8-A117-A096EA89808E}">
      <formula1>0</formula1>
    </dataValidation>
  </dataValidation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C6B9"/>
  </sheetPr>
  <dimension ref="B2:C31"/>
  <sheetViews>
    <sheetView showGridLines="0" workbookViewId="0"/>
  </sheetViews>
  <sheetFormatPr defaultRowHeight="13.2" x14ac:dyDescent="0.25"/>
  <cols>
    <col min="2" max="2" width="26.5546875" customWidth="1"/>
    <col min="3" max="3" width="19.33203125" customWidth="1"/>
  </cols>
  <sheetData>
    <row r="2" spans="2:3" ht="15.6" x14ac:dyDescent="0.3">
      <c r="B2" s="9" t="s">
        <v>351</v>
      </c>
      <c r="C2" s="1"/>
    </row>
    <row r="3" spans="2:3" ht="13.8" thickBot="1" x14ac:dyDescent="0.3"/>
    <row r="4" spans="2:3" ht="25.5" customHeight="1" thickBot="1" x14ac:dyDescent="0.3">
      <c r="B4" s="31" t="s">
        <v>299</v>
      </c>
      <c r="C4" s="233" t="s">
        <v>352</v>
      </c>
    </row>
    <row r="5" spans="2:3" x14ac:dyDescent="0.25">
      <c r="B5" s="29" t="s">
        <v>353</v>
      </c>
      <c r="C5" s="219">
        <v>0.17</v>
      </c>
    </row>
    <row r="6" spans="2:3" ht="15.6" x14ac:dyDescent="0.25">
      <c r="B6" s="232" t="s">
        <v>354</v>
      </c>
      <c r="C6" s="220">
        <v>0.91</v>
      </c>
    </row>
    <row r="7" spans="2:3" ht="15.6" x14ac:dyDescent="0.25">
      <c r="B7" s="232" t="s">
        <v>355</v>
      </c>
      <c r="C7" s="220">
        <v>0.67100000000000004</v>
      </c>
    </row>
    <row r="8" spans="2:3" x14ac:dyDescent="0.25">
      <c r="B8" s="232" t="s">
        <v>128</v>
      </c>
      <c r="C8" s="220">
        <v>0.62</v>
      </c>
    </row>
    <row r="9" spans="2:3" x14ac:dyDescent="0.25">
      <c r="B9" s="26" t="s">
        <v>337</v>
      </c>
      <c r="C9" s="220">
        <v>0.83</v>
      </c>
    </row>
    <row r="10" spans="2:3" x14ac:dyDescent="0.25">
      <c r="B10" s="26" t="s">
        <v>356</v>
      </c>
      <c r="C10" s="220">
        <v>0.47</v>
      </c>
    </row>
    <row r="11" spans="2:3" x14ac:dyDescent="0.25">
      <c r="B11" s="26" t="s">
        <v>357</v>
      </c>
      <c r="C11" s="220">
        <v>0.73</v>
      </c>
    </row>
    <row r="12" spans="2:3" x14ac:dyDescent="0.25">
      <c r="B12" s="26" t="s">
        <v>358</v>
      </c>
      <c r="C12" s="220">
        <v>0.02</v>
      </c>
    </row>
    <row r="13" spans="2:3" x14ac:dyDescent="0.25">
      <c r="B13" s="26" t="s">
        <v>340</v>
      </c>
      <c r="C13" s="220">
        <v>0.13</v>
      </c>
    </row>
    <row r="14" spans="2:3" ht="15.6" x14ac:dyDescent="0.25">
      <c r="B14" s="232" t="s">
        <v>359</v>
      </c>
      <c r="C14" s="220">
        <v>0.82199999999999995</v>
      </c>
    </row>
    <row r="15" spans="2:3" ht="15.6" x14ac:dyDescent="0.25">
      <c r="B15" s="232" t="s">
        <v>360</v>
      </c>
      <c r="C15" s="220">
        <v>0.83299999999999996</v>
      </c>
    </row>
    <row r="16" spans="2:3" ht="15.6" x14ac:dyDescent="0.25">
      <c r="B16" s="232" t="s">
        <v>361</v>
      </c>
      <c r="C16" s="220">
        <v>0.86399999999999999</v>
      </c>
    </row>
    <row r="17" spans="2:3" x14ac:dyDescent="0.25">
      <c r="B17" s="26" t="s">
        <v>362</v>
      </c>
      <c r="C17" s="220">
        <v>0.83</v>
      </c>
    </row>
    <row r="18" spans="2:3" x14ac:dyDescent="0.25">
      <c r="B18" s="26" t="s">
        <v>363</v>
      </c>
      <c r="C18" s="220">
        <v>0.02</v>
      </c>
    </row>
    <row r="19" spans="2:3" x14ac:dyDescent="0.25">
      <c r="B19" s="26" t="s">
        <v>339</v>
      </c>
      <c r="C19" s="220">
        <v>0.12</v>
      </c>
    </row>
    <row r="20" spans="2:3" x14ac:dyDescent="0.25">
      <c r="B20" s="26" t="s">
        <v>133</v>
      </c>
      <c r="C20" s="220">
        <v>0.73</v>
      </c>
    </row>
    <row r="21" spans="2:3" x14ac:dyDescent="0.25">
      <c r="B21" s="26" t="s">
        <v>364</v>
      </c>
      <c r="C21" s="220">
        <v>0.35</v>
      </c>
    </row>
    <row r="22" spans="2:3" x14ac:dyDescent="0.25">
      <c r="B22" s="26" t="s">
        <v>365</v>
      </c>
      <c r="C22" s="220">
        <v>0.87</v>
      </c>
    </row>
    <row r="23" spans="2:3" x14ac:dyDescent="0.25">
      <c r="B23" s="26" t="s">
        <v>366</v>
      </c>
      <c r="C23" s="220">
        <v>0.04</v>
      </c>
    </row>
    <row r="24" spans="2:3" x14ac:dyDescent="0.25">
      <c r="B24" s="26" t="s">
        <v>367</v>
      </c>
      <c r="C24" s="220">
        <v>0.04</v>
      </c>
    </row>
    <row r="25" spans="2:3" ht="13.8" thickBot="1" x14ac:dyDescent="0.3">
      <c r="B25" s="27" t="s">
        <v>368</v>
      </c>
      <c r="C25" s="221">
        <v>0.01</v>
      </c>
    </row>
    <row r="26" spans="2:3" x14ac:dyDescent="0.25">
      <c r="B26" s="230" t="s">
        <v>369</v>
      </c>
    </row>
    <row r="27" spans="2:3" ht="15.6" x14ac:dyDescent="0.25">
      <c r="B27" s="231" t="s">
        <v>370</v>
      </c>
    </row>
    <row r="28" spans="2:3" ht="15.6" x14ac:dyDescent="0.25">
      <c r="B28" s="231" t="s">
        <v>371</v>
      </c>
    </row>
    <row r="29" spans="2:3" ht="15.6" x14ac:dyDescent="0.25">
      <c r="B29" s="231" t="s">
        <v>372</v>
      </c>
    </row>
    <row r="30" spans="2:3" ht="15.6" x14ac:dyDescent="0.25">
      <c r="B30" s="231" t="s">
        <v>373</v>
      </c>
    </row>
    <row r="31" spans="2:3" ht="15.6" x14ac:dyDescent="0.25">
      <c r="B31" s="231" t="s">
        <v>374</v>
      </c>
    </row>
  </sheetData>
  <sheetProtection algorithmName="SHA-512" hashValue="/2m9+P86Zjndu+dIICKuDvp368g5PFyhTht71Qa/J9FuHEzveLguEm9QpxHaEy8vO1loQS8+VEOc780GhXF3FQ==" saltValue="8g2z9ZsP2sHoc4q6cMlf5A==" spinCount="100000" sheet="1" objects="1" scenarios="1"/>
  <phoneticPr fontId="7"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C6B9"/>
  </sheetPr>
  <dimension ref="A2:L53"/>
  <sheetViews>
    <sheetView showGridLines="0" workbookViewId="0"/>
  </sheetViews>
  <sheetFormatPr defaultColWidth="9.109375" defaultRowHeight="13.2" x14ac:dyDescent="0.25"/>
  <cols>
    <col min="1" max="1" width="14.44140625" style="761" customWidth="1"/>
    <col min="2" max="3" width="9.109375" style="613"/>
    <col min="4" max="4" width="13.6640625" style="613" customWidth="1"/>
    <col min="5" max="5" width="15.6640625" style="613" customWidth="1"/>
    <col min="6" max="6" width="19.109375" style="613" customWidth="1"/>
    <col min="7" max="7" width="25.88671875" style="613" customWidth="1"/>
    <col min="8" max="8" width="15.109375" style="613" customWidth="1"/>
    <col min="9" max="9" width="24.6640625" style="613" customWidth="1"/>
    <col min="10" max="10" width="21.33203125" style="613" customWidth="1"/>
    <col min="11" max="11" width="13.6640625" style="613" customWidth="1"/>
    <col min="12" max="12" width="12.44140625" style="613" customWidth="1"/>
    <col min="13" max="16384" width="9.109375" style="613"/>
  </cols>
  <sheetData>
    <row r="2" spans="1:12" ht="18" x14ac:dyDescent="0.4">
      <c r="B2" s="762" t="s">
        <v>375</v>
      </c>
    </row>
    <row r="3" spans="1:12" x14ac:dyDescent="0.25">
      <c r="B3" s="924" t="s">
        <v>376</v>
      </c>
    </row>
    <row r="4" spans="1:12" x14ac:dyDescent="0.25">
      <c r="B4" s="719" t="s">
        <v>377</v>
      </c>
    </row>
    <row r="6" spans="1:12" x14ac:dyDescent="0.25">
      <c r="B6" s="763"/>
      <c r="C6" s="764" t="s">
        <v>225</v>
      </c>
    </row>
    <row r="7" spans="1:12" x14ac:dyDescent="0.25">
      <c r="B7" s="765"/>
      <c r="C7" s="764" t="s">
        <v>226</v>
      </c>
    </row>
    <row r="8" spans="1:12" x14ac:dyDescent="0.25">
      <c r="B8" s="766"/>
      <c r="C8" s="613" t="s">
        <v>7</v>
      </c>
    </row>
    <row r="10" spans="1:12" x14ac:dyDescent="0.25">
      <c r="B10" s="767" t="s">
        <v>378</v>
      </c>
      <c r="C10" s="768"/>
    </row>
    <row r="11" spans="1:12" ht="13.8" thickBot="1" x14ac:dyDescent="0.3"/>
    <row r="12" spans="1:12" ht="13.8" thickBot="1" x14ac:dyDescent="0.3">
      <c r="D12" s="1239" t="s">
        <v>379</v>
      </c>
      <c r="E12" s="1240"/>
      <c r="F12" s="1240"/>
      <c r="G12" s="1240"/>
      <c r="H12" s="1236" t="s">
        <v>380</v>
      </c>
      <c r="I12" s="1237"/>
      <c r="J12" s="1238"/>
    </row>
    <row r="13" spans="1:12" ht="42.75" customHeight="1" thickBot="1" x14ac:dyDescent="0.3">
      <c r="B13" s="769" t="s">
        <v>236</v>
      </c>
      <c r="C13" s="770" t="s">
        <v>240</v>
      </c>
      <c r="D13" s="771" t="s">
        <v>381</v>
      </c>
      <c r="E13" s="772" t="s">
        <v>382</v>
      </c>
      <c r="F13" s="773" t="s">
        <v>383</v>
      </c>
      <c r="G13" s="774" t="s">
        <v>384</v>
      </c>
      <c r="H13" s="775" t="s">
        <v>385</v>
      </c>
      <c r="I13" s="776" t="s">
        <v>386</v>
      </c>
      <c r="J13" s="777" t="s">
        <v>387</v>
      </c>
      <c r="K13" s="774" t="s">
        <v>388</v>
      </c>
    </row>
    <row r="14" spans="1:12" ht="27" thickBot="1" x14ac:dyDescent="0.3">
      <c r="A14" s="778" t="s">
        <v>306</v>
      </c>
      <c r="B14" s="683" t="s">
        <v>247</v>
      </c>
      <c r="C14" s="684" t="s">
        <v>389</v>
      </c>
      <c r="D14" s="684" t="s">
        <v>390</v>
      </c>
      <c r="E14" s="684">
        <v>0.44</v>
      </c>
      <c r="F14" s="684">
        <v>100</v>
      </c>
      <c r="G14" s="684">
        <v>1</v>
      </c>
      <c r="H14" s="684">
        <v>80</v>
      </c>
      <c r="I14" s="684">
        <v>0.9</v>
      </c>
      <c r="J14" s="684">
        <v>1</v>
      </c>
      <c r="K14" s="779">
        <f>(E14*F14*G14) - ((H14*I14*(1-J14)*E14))</f>
        <v>44</v>
      </c>
      <c r="L14" s="687"/>
    </row>
    <row r="15" spans="1:12" x14ac:dyDescent="0.25">
      <c r="B15" s="703"/>
      <c r="C15" s="780"/>
      <c r="D15" s="780"/>
      <c r="E15" s="781"/>
      <c r="F15" s="781"/>
      <c r="G15" s="781"/>
      <c r="H15" s="781"/>
      <c r="I15" s="781"/>
      <c r="J15" s="781"/>
      <c r="K15" s="814">
        <f>(E15*F15*G15) - (H15*I15*(1-J15)*E15)</f>
        <v>0</v>
      </c>
      <c r="L15" s="782"/>
    </row>
    <row r="16" spans="1:12" x14ac:dyDescent="0.25">
      <c r="B16" s="705"/>
      <c r="C16" s="783"/>
      <c r="D16" s="783"/>
      <c r="E16" s="784"/>
      <c r="F16" s="784"/>
      <c r="G16" s="784"/>
      <c r="H16" s="784"/>
      <c r="I16" s="784"/>
      <c r="J16" s="784"/>
      <c r="K16" s="815">
        <f t="shared" ref="K16:K31" si="0">(E16*F16*G16) - (H16*I16*(1-J16)*E16)</f>
        <v>0</v>
      </c>
    </row>
    <row r="17" spans="2:11" x14ac:dyDescent="0.25">
      <c r="B17" s="705"/>
      <c r="C17" s="783"/>
      <c r="D17" s="783"/>
      <c r="E17" s="784"/>
      <c r="F17" s="784"/>
      <c r="G17" s="784"/>
      <c r="H17" s="784"/>
      <c r="I17" s="784"/>
      <c r="J17" s="784"/>
      <c r="K17" s="815">
        <f t="shared" si="0"/>
        <v>0</v>
      </c>
    </row>
    <row r="18" spans="2:11" x14ac:dyDescent="0.25">
      <c r="B18" s="705"/>
      <c r="C18" s="783"/>
      <c r="D18" s="783"/>
      <c r="E18" s="784"/>
      <c r="F18" s="784"/>
      <c r="G18" s="784"/>
      <c r="H18" s="784"/>
      <c r="I18" s="784"/>
      <c r="J18" s="784"/>
      <c r="K18" s="815">
        <f t="shared" si="0"/>
        <v>0</v>
      </c>
    </row>
    <row r="19" spans="2:11" x14ac:dyDescent="0.25">
      <c r="B19" s="705"/>
      <c r="C19" s="783"/>
      <c r="D19" s="783"/>
      <c r="E19" s="784"/>
      <c r="F19" s="784"/>
      <c r="G19" s="784"/>
      <c r="H19" s="784"/>
      <c r="I19" s="784"/>
      <c r="J19" s="784"/>
      <c r="K19" s="815">
        <f t="shared" si="0"/>
        <v>0</v>
      </c>
    </row>
    <row r="20" spans="2:11" x14ac:dyDescent="0.25">
      <c r="B20" s="705"/>
      <c r="C20" s="783"/>
      <c r="D20" s="783"/>
      <c r="E20" s="784"/>
      <c r="F20" s="784"/>
      <c r="G20" s="784"/>
      <c r="H20" s="784"/>
      <c r="I20" s="784"/>
      <c r="J20" s="784"/>
      <c r="K20" s="815">
        <f t="shared" si="0"/>
        <v>0</v>
      </c>
    </row>
    <row r="21" spans="2:11" x14ac:dyDescent="0.25">
      <c r="B21" s="705"/>
      <c r="C21" s="783"/>
      <c r="D21" s="783"/>
      <c r="E21" s="784"/>
      <c r="F21" s="784"/>
      <c r="G21" s="784"/>
      <c r="H21" s="784"/>
      <c r="I21" s="784"/>
      <c r="J21" s="784"/>
      <c r="K21" s="815">
        <f t="shared" si="0"/>
        <v>0</v>
      </c>
    </row>
    <row r="22" spans="2:11" x14ac:dyDescent="0.25">
      <c r="B22" s="705"/>
      <c r="C22" s="783"/>
      <c r="D22" s="783"/>
      <c r="E22" s="784"/>
      <c r="F22" s="784"/>
      <c r="G22" s="784"/>
      <c r="H22" s="784"/>
      <c r="I22" s="784"/>
      <c r="J22" s="784"/>
      <c r="K22" s="815">
        <f t="shared" si="0"/>
        <v>0</v>
      </c>
    </row>
    <row r="23" spans="2:11" x14ac:dyDescent="0.25">
      <c r="B23" s="705"/>
      <c r="C23" s="783"/>
      <c r="D23" s="783"/>
      <c r="E23" s="784"/>
      <c r="F23" s="784"/>
      <c r="G23" s="784"/>
      <c r="H23" s="784"/>
      <c r="I23" s="784"/>
      <c r="J23" s="784"/>
      <c r="K23" s="815">
        <f t="shared" si="0"/>
        <v>0</v>
      </c>
    </row>
    <row r="24" spans="2:11" x14ac:dyDescent="0.25">
      <c r="B24" s="705"/>
      <c r="C24" s="783"/>
      <c r="D24" s="783"/>
      <c r="E24" s="784"/>
      <c r="F24" s="784"/>
      <c r="G24" s="784"/>
      <c r="H24" s="784"/>
      <c r="I24" s="784"/>
      <c r="J24" s="784"/>
      <c r="K24" s="815">
        <f t="shared" si="0"/>
        <v>0</v>
      </c>
    </row>
    <row r="25" spans="2:11" x14ac:dyDescent="0.25">
      <c r="B25" s="705"/>
      <c r="C25" s="783"/>
      <c r="D25" s="783"/>
      <c r="E25" s="784"/>
      <c r="F25" s="784"/>
      <c r="G25" s="784"/>
      <c r="H25" s="784"/>
      <c r="I25" s="784"/>
      <c r="J25" s="784"/>
      <c r="K25" s="815">
        <f t="shared" si="0"/>
        <v>0</v>
      </c>
    </row>
    <row r="26" spans="2:11" x14ac:dyDescent="0.25">
      <c r="B26" s="705"/>
      <c r="C26" s="783"/>
      <c r="D26" s="783"/>
      <c r="E26" s="784"/>
      <c r="F26" s="784"/>
      <c r="G26" s="784"/>
      <c r="H26" s="784"/>
      <c r="I26" s="784"/>
      <c r="J26" s="784"/>
      <c r="K26" s="815">
        <f t="shared" si="0"/>
        <v>0</v>
      </c>
    </row>
    <row r="27" spans="2:11" x14ac:dyDescent="0.25">
      <c r="B27" s="705"/>
      <c r="C27" s="783"/>
      <c r="D27" s="783"/>
      <c r="E27" s="784"/>
      <c r="F27" s="784"/>
      <c r="G27" s="784"/>
      <c r="H27" s="784"/>
      <c r="I27" s="784"/>
      <c r="J27" s="784"/>
      <c r="K27" s="815">
        <f t="shared" si="0"/>
        <v>0</v>
      </c>
    </row>
    <row r="28" spans="2:11" x14ac:dyDescent="0.25">
      <c r="B28" s="705"/>
      <c r="C28" s="783"/>
      <c r="D28" s="783"/>
      <c r="E28" s="784"/>
      <c r="F28" s="784"/>
      <c r="G28" s="784"/>
      <c r="H28" s="784"/>
      <c r="I28" s="784"/>
      <c r="J28" s="784"/>
      <c r="K28" s="815">
        <f t="shared" si="0"/>
        <v>0</v>
      </c>
    </row>
    <row r="29" spans="2:11" x14ac:dyDescent="0.25">
      <c r="B29" s="705"/>
      <c r="C29" s="783"/>
      <c r="D29" s="783"/>
      <c r="E29" s="784"/>
      <c r="F29" s="784"/>
      <c r="G29" s="784"/>
      <c r="H29" s="784"/>
      <c r="I29" s="784"/>
      <c r="J29" s="784"/>
      <c r="K29" s="815">
        <f t="shared" si="0"/>
        <v>0</v>
      </c>
    </row>
    <row r="30" spans="2:11" x14ac:dyDescent="0.25">
      <c r="B30" s="705"/>
      <c r="C30" s="783"/>
      <c r="D30" s="783"/>
      <c r="E30" s="784"/>
      <c r="F30" s="784"/>
      <c r="G30" s="784"/>
      <c r="H30" s="784"/>
      <c r="I30" s="784"/>
      <c r="J30" s="784"/>
      <c r="K30" s="815">
        <f t="shared" si="0"/>
        <v>0</v>
      </c>
    </row>
    <row r="31" spans="2:11" ht="13.8" thickBot="1" x14ac:dyDescent="0.3">
      <c r="B31" s="708"/>
      <c r="C31" s="785"/>
      <c r="D31" s="785"/>
      <c r="E31" s="786"/>
      <c r="F31" s="786"/>
      <c r="G31" s="786"/>
      <c r="H31" s="786"/>
      <c r="I31" s="786"/>
      <c r="J31" s="786"/>
      <c r="K31" s="816">
        <f t="shared" si="0"/>
        <v>0</v>
      </c>
    </row>
    <row r="32" spans="2:11" ht="16.2" thickBot="1" x14ac:dyDescent="0.4">
      <c r="B32" s="787" t="s">
        <v>391</v>
      </c>
      <c r="C32" s="788"/>
      <c r="D32" s="789"/>
      <c r="E32" s="790"/>
      <c r="F32" s="819">
        <f>SUM(F15:F31)</f>
        <v>0</v>
      </c>
      <c r="G32" s="788"/>
      <c r="H32" s="818">
        <f>SUM(H15:H31)</f>
        <v>0</v>
      </c>
      <c r="I32" s="1245" t="s">
        <v>309</v>
      </c>
      <c r="J32" s="1191"/>
      <c r="K32" s="817">
        <f>SUM(K15:K31)</f>
        <v>0</v>
      </c>
    </row>
    <row r="33" spans="1:9" x14ac:dyDescent="0.25">
      <c r="A33" s="613"/>
    </row>
    <row r="34" spans="1:9" ht="13.8" thickBot="1" x14ac:dyDescent="0.3">
      <c r="A34" s="613"/>
    </row>
    <row r="35" spans="1:9" ht="15.6" x14ac:dyDescent="0.3">
      <c r="B35" s="791" t="s">
        <v>392</v>
      </c>
      <c r="C35" s="623"/>
      <c r="D35" s="623"/>
      <c r="E35" s="792"/>
      <c r="F35" s="792"/>
      <c r="G35" s="792"/>
      <c r="H35" s="792"/>
      <c r="I35" s="793"/>
    </row>
    <row r="36" spans="1:9" x14ac:dyDescent="0.25">
      <c r="B36" s="794"/>
      <c r="I36" s="795"/>
    </row>
    <row r="37" spans="1:9" x14ac:dyDescent="0.25">
      <c r="B37" s="794"/>
      <c r="C37" s="719" t="s">
        <v>393</v>
      </c>
      <c r="I37" s="795"/>
    </row>
    <row r="38" spans="1:9" x14ac:dyDescent="0.25">
      <c r="B38" s="794"/>
      <c r="C38" s="719" t="s">
        <v>394</v>
      </c>
      <c r="I38" s="795"/>
    </row>
    <row r="39" spans="1:9" ht="15.6" x14ac:dyDescent="0.35">
      <c r="B39" s="794"/>
      <c r="C39" s="710" t="s">
        <v>395</v>
      </c>
      <c r="I39" s="795"/>
    </row>
    <row r="40" spans="1:9" x14ac:dyDescent="0.25">
      <c r="B40" s="794"/>
      <c r="C40" s="719"/>
      <c r="I40" s="795"/>
    </row>
    <row r="41" spans="1:9" x14ac:dyDescent="0.25">
      <c r="B41" s="794"/>
      <c r="C41" s="719" t="s">
        <v>396</v>
      </c>
      <c r="I41" s="795"/>
    </row>
    <row r="42" spans="1:9" ht="13.8" thickBot="1" x14ac:dyDescent="0.3">
      <c r="B42" s="794"/>
      <c r="I42" s="795"/>
    </row>
    <row r="43" spans="1:9" ht="42" x14ac:dyDescent="0.25">
      <c r="B43" s="794"/>
      <c r="C43" s="1241" t="s">
        <v>397</v>
      </c>
      <c r="D43" s="1242"/>
      <c r="E43" s="1243" t="s">
        <v>398</v>
      </c>
      <c r="F43" s="1244"/>
      <c r="G43" s="796" t="s">
        <v>399</v>
      </c>
      <c r="H43" s="797" t="s">
        <v>400</v>
      </c>
      <c r="I43" s="795"/>
    </row>
    <row r="44" spans="1:9" ht="15.6" x14ac:dyDescent="0.35">
      <c r="B44" s="794"/>
      <c r="C44" s="798" t="s">
        <v>390</v>
      </c>
      <c r="D44" s="799"/>
      <c r="E44" s="1246" t="s">
        <v>401</v>
      </c>
      <c r="F44" s="1247"/>
      <c r="G44" s="800">
        <v>100.0869</v>
      </c>
      <c r="H44" s="800">
        <v>0.44</v>
      </c>
      <c r="I44" s="795"/>
    </row>
    <row r="45" spans="1:9" ht="15.6" x14ac:dyDescent="0.35">
      <c r="B45" s="794"/>
      <c r="C45" s="798" t="s">
        <v>402</v>
      </c>
      <c r="D45" s="799"/>
      <c r="E45" s="1248" t="s">
        <v>403</v>
      </c>
      <c r="F45" s="1249"/>
      <c r="G45" s="801">
        <v>84.313900000000004</v>
      </c>
      <c r="H45" s="802">
        <v>0.52</v>
      </c>
      <c r="I45" s="795"/>
    </row>
    <row r="46" spans="1:9" ht="15.6" x14ac:dyDescent="0.35">
      <c r="B46" s="794"/>
      <c r="C46" s="798" t="s">
        <v>404</v>
      </c>
      <c r="D46" s="799"/>
      <c r="E46" s="1246" t="s">
        <v>340</v>
      </c>
      <c r="F46" s="1247"/>
      <c r="G46" s="800">
        <v>184.4008</v>
      </c>
      <c r="H46" s="803">
        <v>0.48</v>
      </c>
      <c r="I46" s="795"/>
    </row>
    <row r="47" spans="1:9" ht="15.6" x14ac:dyDescent="0.35">
      <c r="B47" s="794"/>
      <c r="C47" s="798" t="s">
        <v>405</v>
      </c>
      <c r="D47" s="799"/>
      <c r="E47" s="1246" t="s">
        <v>406</v>
      </c>
      <c r="F47" s="1247"/>
      <c r="G47" s="800">
        <v>115.8539</v>
      </c>
      <c r="H47" s="803">
        <v>0.38</v>
      </c>
      <c r="I47" s="795"/>
    </row>
    <row r="48" spans="1:9" ht="15.6" x14ac:dyDescent="0.35">
      <c r="B48" s="794"/>
      <c r="C48" s="798" t="s">
        <v>407</v>
      </c>
      <c r="D48" s="804"/>
      <c r="E48" s="1246" t="s">
        <v>408</v>
      </c>
      <c r="F48" s="1247"/>
      <c r="G48" s="805" t="s">
        <v>409</v>
      </c>
      <c r="H48" s="806" t="s">
        <v>410</v>
      </c>
      <c r="I48" s="795"/>
    </row>
    <row r="49" spans="2:9" ht="15.6" x14ac:dyDescent="0.35">
      <c r="B49" s="794"/>
      <c r="C49" s="798" t="s">
        <v>411</v>
      </c>
      <c r="D49" s="799"/>
      <c r="E49" s="1246" t="s">
        <v>412</v>
      </c>
      <c r="F49" s="1247"/>
      <c r="G49" s="800">
        <v>114.947</v>
      </c>
      <c r="H49" s="803">
        <v>0.38</v>
      </c>
      <c r="I49" s="795"/>
    </row>
    <row r="50" spans="2:9" ht="16.2" thickBot="1" x14ac:dyDescent="0.4">
      <c r="B50" s="794"/>
      <c r="C50" s="807" t="s">
        <v>413</v>
      </c>
      <c r="D50" s="808"/>
      <c r="E50" s="809" t="s">
        <v>414</v>
      </c>
      <c r="F50" s="810"/>
      <c r="G50" s="810">
        <v>106.0685</v>
      </c>
      <c r="H50" s="811">
        <v>0.41</v>
      </c>
      <c r="I50" s="795"/>
    </row>
    <row r="51" spans="2:9" x14ac:dyDescent="0.25">
      <c r="B51" s="794"/>
      <c r="I51" s="795"/>
    </row>
    <row r="52" spans="2:9" x14ac:dyDescent="0.25">
      <c r="B52" s="794"/>
      <c r="C52" s="613" t="s">
        <v>415</v>
      </c>
      <c r="I52" s="795"/>
    </row>
    <row r="53" spans="2:9" ht="13.8" thickBot="1" x14ac:dyDescent="0.3">
      <c r="B53" s="812"/>
      <c r="C53" s="627"/>
      <c r="D53" s="627"/>
      <c r="E53" s="627"/>
      <c r="F53" s="627"/>
      <c r="G53" s="627"/>
      <c r="H53" s="627"/>
      <c r="I53" s="813"/>
    </row>
  </sheetData>
  <sheetProtection algorithmName="SHA-512" hashValue="I5eSai0Eqnc5tqnZz9r1lQ0HG/ckioDl3Kwfyml+EEsv+nSt8vAVaB5vebuzoKrvJ2emw7JfYORPPEiG4xYQGQ==" saltValue="18/pY+pylyrwV7S0NL6HUA==" spinCount="100000" sheet="1" objects="1" scenarios="1"/>
  <mergeCells count="11">
    <mergeCell ref="E49:F49"/>
    <mergeCell ref="E44:F44"/>
    <mergeCell ref="E45:F45"/>
    <mergeCell ref="E46:F46"/>
    <mergeCell ref="E47:F47"/>
    <mergeCell ref="E48:F48"/>
    <mergeCell ref="H12:J12"/>
    <mergeCell ref="D12:G12"/>
    <mergeCell ref="C43:D43"/>
    <mergeCell ref="E43:F43"/>
    <mergeCell ref="I32:J32"/>
  </mergeCells>
  <phoneticPr fontId="7" type="noConversion"/>
  <dataValidations count="2">
    <dataValidation type="decimal" errorStyle="information" operator="greaterThan" allowBlank="1" showInputMessage="1" showErrorMessage="1" errorTitle="Incorrect value" error="Value must be greater than zero." sqref="E15:J31" xr:uid="{52AD1E27-D599-4264-B02F-A1B84B1D1CFE}">
      <formula1>0</formula1>
    </dataValidation>
    <dataValidation type="list" allowBlank="1" showInputMessage="1" showErrorMessage="1" sqref="D15:D31" xr:uid="{90B0604E-64D7-4C65-A457-DB7BB518237C}">
      <formula1>$C$44:$C$50</formula1>
    </dataValidation>
  </dataValidation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C6B9"/>
  </sheetPr>
  <dimension ref="A2:K49"/>
  <sheetViews>
    <sheetView showGridLines="0" workbookViewId="0"/>
  </sheetViews>
  <sheetFormatPr defaultColWidth="9.109375" defaultRowHeight="13.2" x14ac:dyDescent="0.25"/>
  <cols>
    <col min="1" max="1" width="9.109375" style="613"/>
    <col min="2" max="2" width="15.44140625" style="613" customWidth="1"/>
    <col min="3" max="3" width="17.33203125" style="613" bestFit="1" customWidth="1"/>
    <col min="4" max="4" width="18.44140625" style="613" customWidth="1"/>
    <col min="5" max="5" width="19" style="613" customWidth="1"/>
    <col min="6" max="6" width="23" style="613" customWidth="1"/>
    <col min="7" max="7" width="24.109375" style="613" customWidth="1"/>
    <col min="8" max="8" width="24.109375" style="613" bestFit="1" customWidth="1"/>
    <col min="9" max="9" width="28.5546875" style="613" customWidth="1"/>
    <col min="10" max="10" width="27.5546875" style="613" customWidth="1"/>
    <col min="11" max="11" width="19.88671875" style="613" customWidth="1"/>
    <col min="12" max="16384" width="9.109375" style="613"/>
  </cols>
  <sheetData>
    <row r="2" spans="1:11" ht="18" x14ac:dyDescent="0.4">
      <c r="B2" s="762" t="s">
        <v>416</v>
      </c>
    </row>
    <row r="4" spans="1:11" x14ac:dyDescent="0.25">
      <c r="B4" s="924" t="s">
        <v>417</v>
      </c>
    </row>
    <row r="5" spans="1:11" x14ac:dyDescent="0.25">
      <c r="B5" s="924" t="s">
        <v>418</v>
      </c>
    </row>
    <row r="7" spans="1:11" x14ac:dyDescent="0.25">
      <c r="B7" s="820"/>
      <c r="C7" s="764" t="s">
        <v>225</v>
      </c>
    </row>
    <row r="8" spans="1:11" x14ac:dyDescent="0.25">
      <c r="B8" s="765"/>
      <c r="C8" s="764" t="s">
        <v>226</v>
      </c>
    </row>
    <row r="9" spans="1:11" x14ac:dyDescent="0.25">
      <c r="B9" s="766"/>
      <c r="C9" s="613" t="s">
        <v>7</v>
      </c>
    </row>
    <row r="10" spans="1:11" x14ac:dyDescent="0.25">
      <c r="C10" s="764"/>
      <c r="D10" s="764"/>
    </row>
    <row r="11" spans="1:11" x14ac:dyDescent="0.25">
      <c r="C11" s="767"/>
      <c r="D11" s="764"/>
    </row>
    <row r="13" spans="1:11" ht="13.8" thickBot="1" x14ac:dyDescent="0.3">
      <c r="B13" s="767" t="s">
        <v>378</v>
      </c>
    </row>
    <row r="14" spans="1:11" ht="20.25" customHeight="1" thickBot="1" x14ac:dyDescent="0.3">
      <c r="D14" s="1250" t="s">
        <v>419</v>
      </c>
      <c r="E14" s="1251"/>
      <c r="F14" s="1251"/>
      <c r="G14" s="1252"/>
      <c r="H14" s="1250" t="s">
        <v>420</v>
      </c>
      <c r="I14" s="1252"/>
    </row>
    <row r="15" spans="1:11" ht="36.75" customHeight="1" thickBot="1" x14ac:dyDescent="0.3">
      <c r="B15" s="769" t="s">
        <v>236</v>
      </c>
      <c r="C15" s="770" t="s">
        <v>240</v>
      </c>
      <c r="D15" s="821" t="s">
        <v>421</v>
      </c>
      <c r="E15" s="822" t="s">
        <v>422</v>
      </c>
      <c r="F15" s="822" t="s">
        <v>423</v>
      </c>
      <c r="G15" s="823" t="s">
        <v>424</v>
      </c>
      <c r="H15" s="822" t="s">
        <v>425</v>
      </c>
      <c r="I15" s="823" t="s">
        <v>426</v>
      </c>
      <c r="J15" s="821" t="s">
        <v>427</v>
      </c>
      <c r="K15" s="824" t="s">
        <v>319</v>
      </c>
    </row>
    <row r="16" spans="1:11" ht="24.75" customHeight="1" thickBot="1" x14ac:dyDescent="0.3">
      <c r="A16" s="613" t="s">
        <v>428</v>
      </c>
      <c r="B16" s="633" t="s">
        <v>247</v>
      </c>
      <c r="C16" s="825" t="s">
        <v>389</v>
      </c>
      <c r="D16" s="826" t="s">
        <v>429</v>
      </c>
      <c r="E16" s="827">
        <v>1200</v>
      </c>
      <c r="F16" s="827">
        <v>0.95</v>
      </c>
      <c r="G16" s="828">
        <v>0.78500000000000003</v>
      </c>
      <c r="H16" s="827">
        <v>0.1</v>
      </c>
      <c r="I16" s="828">
        <v>0.28000000000000003</v>
      </c>
      <c r="J16" s="827">
        <v>1.02</v>
      </c>
      <c r="K16" s="829">
        <f t="shared" ref="K16:K27" si="0">((F16*G16)*E16)*(1-(H16*I16))*J16</f>
        <v>887.23965600000008</v>
      </c>
    </row>
    <row r="17" spans="2:11" x14ac:dyDescent="0.25">
      <c r="B17" s="688"/>
      <c r="C17" s="801"/>
      <c r="D17" s="830"/>
      <c r="E17" s="612"/>
      <c r="F17" s="612"/>
      <c r="G17" s="612"/>
      <c r="H17" s="612"/>
      <c r="I17" s="612"/>
      <c r="J17" s="612"/>
      <c r="K17" s="847">
        <f t="shared" si="0"/>
        <v>0</v>
      </c>
    </row>
    <row r="18" spans="2:11" x14ac:dyDescent="0.25">
      <c r="B18" s="689"/>
      <c r="C18" s="800"/>
      <c r="D18" s="831"/>
      <c r="E18" s="615"/>
      <c r="F18" s="615"/>
      <c r="G18" s="615"/>
      <c r="H18" s="615"/>
      <c r="I18" s="615"/>
      <c r="J18" s="615"/>
      <c r="K18" s="848">
        <f t="shared" si="0"/>
        <v>0</v>
      </c>
    </row>
    <row r="19" spans="2:11" x14ac:dyDescent="0.25">
      <c r="B19" s="689"/>
      <c r="C19" s="800"/>
      <c r="D19" s="831"/>
      <c r="E19" s="615"/>
      <c r="F19" s="615"/>
      <c r="G19" s="615"/>
      <c r="H19" s="615"/>
      <c r="I19" s="615"/>
      <c r="J19" s="615"/>
      <c r="K19" s="848">
        <f t="shared" si="0"/>
        <v>0</v>
      </c>
    </row>
    <row r="20" spans="2:11" x14ac:dyDescent="0.25">
      <c r="B20" s="689"/>
      <c r="C20" s="800"/>
      <c r="D20" s="831"/>
      <c r="E20" s="615"/>
      <c r="F20" s="615"/>
      <c r="G20" s="615"/>
      <c r="H20" s="615"/>
      <c r="I20" s="615"/>
      <c r="J20" s="615"/>
      <c r="K20" s="848">
        <f t="shared" si="0"/>
        <v>0</v>
      </c>
    </row>
    <row r="21" spans="2:11" x14ac:dyDescent="0.25">
      <c r="B21" s="689"/>
      <c r="C21" s="832"/>
      <c r="D21" s="831"/>
      <c r="E21" s="615"/>
      <c r="F21" s="615"/>
      <c r="G21" s="615"/>
      <c r="H21" s="615"/>
      <c r="I21" s="615"/>
      <c r="J21" s="615"/>
      <c r="K21" s="848">
        <f t="shared" si="0"/>
        <v>0</v>
      </c>
    </row>
    <row r="22" spans="2:11" x14ac:dyDescent="0.25">
      <c r="B22" s="689"/>
      <c r="C22" s="800"/>
      <c r="D22" s="831"/>
      <c r="E22" s="615"/>
      <c r="F22" s="615"/>
      <c r="G22" s="615"/>
      <c r="H22" s="615"/>
      <c r="I22" s="615"/>
      <c r="J22" s="615"/>
      <c r="K22" s="848">
        <f t="shared" si="0"/>
        <v>0</v>
      </c>
    </row>
    <row r="23" spans="2:11" x14ac:dyDescent="0.25">
      <c r="B23" s="689"/>
      <c r="C23" s="800"/>
      <c r="D23" s="831"/>
      <c r="E23" s="615"/>
      <c r="F23" s="615"/>
      <c r="G23" s="615"/>
      <c r="H23" s="615"/>
      <c r="I23" s="615"/>
      <c r="J23" s="615"/>
      <c r="K23" s="848">
        <f t="shared" si="0"/>
        <v>0</v>
      </c>
    </row>
    <row r="24" spans="2:11" x14ac:dyDescent="0.25">
      <c r="B24" s="689"/>
      <c r="C24" s="800"/>
      <c r="D24" s="831"/>
      <c r="E24" s="615"/>
      <c r="F24" s="615"/>
      <c r="G24" s="615"/>
      <c r="H24" s="615"/>
      <c r="I24" s="615"/>
      <c r="J24" s="615"/>
      <c r="K24" s="848">
        <f t="shared" si="0"/>
        <v>0</v>
      </c>
    </row>
    <row r="25" spans="2:11" x14ac:dyDescent="0.25">
      <c r="B25" s="689"/>
      <c r="C25" s="800"/>
      <c r="D25" s="831"/>
      <c r="E25" s="615"/>
      <c r="F25" s="615"/>
      <c r="G25" s="615"/>
      <c r="H25" s="615"/>
      <c r="I25" s="615"/>
      <c r="J25" s="615"/>
      <c r="K25" s="848">
        <f t="shared" si="0"/>
        <v>0</v>
      </c>
    </row>
    <row r="26" spans="2:11" x14ac:dyDescent="0.25">
      <c r="B26" s="689"/>
      <c r="C26" s="800"/>
      <c r="D26" s="831"/>
      <c r="E26" s="615"/>
      <c r="F26" s="615"/>
      <c r="G26" s="615"/>
      <c r="H26" s="615"/>
      <c r="I26" s="615"/>
      <c r="J26" s="615"/>
      <c r="K26" s="848">
        <f t="shared" si="0"/>
        <v>0</v>
      </c>
    </row>
    <row r="27" spans="2:11" ht="13.8" thickBot="1" x14ac:dyDescent="0.3">
      <c r="B27" s="716"/>
      <c r="C27" s="810"/>
      <c r="D27" s="833"/>
      <c r="E27" s="717"/>
      <c r="F27" s="717"/>
      <c r="G27" s="717"/>
      <c r="H27" s="717"/>
      <c r="I27" s="717"/>
      <c r="J27" s="717"/>
      <c r="K27" s="849">
        <f t="shared" si="0"/>
        <v>0</v>
      </c>
    </row>
    <row r="28" spans="2:11" ht="16.2" thickBot="1" x14ac:dyDescent="0.4">
      <c r="B28" s="834" t="s">
        <v>391</v>
      </c>
      <c r="C28" s="835"/>
      <c r="D28" s="836"/>
      <c r="E28" s="850">
        <f>SUM(E17:E27)</f>
        <v>0</v>
      </c>
      <c r="F28" s="837"/>
      <c r="G28" s="838"/>
      <c r="H28" s="837"/>
      <c r="I28" s="838"/>
      <c r="J28" s="839" t="s">
        <v>430</v>
      </c>
      <c r="K28" s="846">
        <f>SUM(K17:K27)</f>
        <v>0</v>
      </c>
    </row>
    <row r="29" spans="2:11" x14ac:dyDescent="0.25">
      <c r="B29" s="840" t="s">
        <v>431</v>
      </c>
    </row>
    <row r="30" spans="2:11" ht="13.8" thickBot="1" x14ac:dyDescent="0.3"/>
    <row r="31" spans="2:11" ht="15.6" x14ac:dyDescent="0.3">
      <c r="B31" s="791" t="s">
        <v>392</v>
      </c>
      <c r="C31" s="792"/>
      <c r="D31" s="792"/>
      <c r="E31" s="792"/>
      <c r="F31" s="792"/>
      <c r="G31" s="792"/>
      <c r="H31" s="793"/>
    </row>
    <row r="32" spans="2:11" x14ac:dyDescent="0.25">
      <c r="B32" s="794"/>
      <c r="H32" s="795"/>
    </row>
    <row r="33" spans="2:8" x14ac:dyDescent="0.25">
      <c r="B33" s="794"/>
      <c r="H33" s="795"/>
    </row>
    <row r="34" spans="2:8" x14ac:dyDescent="0.25">
      <c r="B34" s="794"/>
      <c r="C34" s="719" t="s">
        <v>432</v>
      </c>
      <c r="H34" s="795"/>
    </row>
    <row r="35" spans="2:8" x14ac:dyDescent="0.25">
      <c r="B35" s="794"/>
      <c r="C35" s="719" t="s">
        <v>433</v>
      </c>
      <c r="H35" s="795"/>
    </row>
    <row r="36" spans="2:8" x14ac:dyDescent="0.25">
      <c r="B36" s="794"/>
      <c r="C36" s="841" t="s">
        <v>434</v>
      </c>
      <c r="H36" s="795"/>
    </row>
    <row r="37" spans="2:8" x14ac:dyDescent="0.25">
      <c r="B37" s="794"/>
      <c r="H37" s="795"/>
    </row>
    <row r="38" spans="2:8" x14ac:dyDescent="0.25">
      <c r="B38" s="794"/>
      <c r="C38" s="719" t="s">
        <v>435</v>
      </c>
      <c r="H38" s="795"/>
    </row>
    <row r="39" spans="2:8" ht="13.8" thickBot="1" x14ac:dyDescent="0.3">
      <c r="B39" s="794"/>
      <c r="H39" s="795"/>
    </row>
    <row r="40" spans="2:8" ht="28.5" customHeight="1" x14ac:dyDescent="0.25">
      <c r="B40" s="794"/>
      <c r="C40" s="694" t="s">
        <v>436</v>
      </c>
      <c r="D40" s="842" t="s">
        <v>424</v>
      </c>
      <c r="E40" s="796" t="s">
        <v>437</v>
      </c>
      <c r="F40" s="796" t="s">
        <v>438</v>
      </c>
      <c r="G40" s="797" t="s">
        <v>439</v>
      </c>
      <c r="H40" s="795"/>
    </row>
    <row r="41" spans="2:8" x14ac:dyDescent="0.25">
      <c r="B41" s="794"/>
      <c r="C41" s="689" t="s">
        <v>440</v>
      </c>
      <c r="D41" s="805">
        <v>0.78500000000000003</v>
      </c>
      <c r="E41" s="805" t="s">
        <v>441</v>
      </c>
      <c r="F41" s="805" t="s">
        <v>442</v>
      </c>
      <c r="G41" s="803">
        <v>0.95</v>
      </c>
      <c r="H41" s="795"/>
    </row>
    <row r="42" spans="2:8" x14ac:dyDescent="0.25">
      <c r="B42" s="794"/>
      <c r="C42" s="1253" t="s">
        <v>443</v>
      </c>
      <c r="D42" s="1254">
        <v>0.91300000000000003</v>
      </c>
      <c r="E42" s="1254" t="s">
        <v>444</v>
      </c>
      <c r="F42" s="1254" t="s">
        <v>445</v>
      </c>
      <c r="G42" s="806" t="s">
        <v>446</v>
      </c>
      <c r="H42" s="795"/>
    </row>
    <row r="43" spans="2:8" x14ac:dyDescent="0.25">
      <c r="B43" s="794"/>
      <c r="C43" s="1253"/>
      <c r="D43" s="1254"/>
      <c r="E43" s="1254"/>
      <c r="F43" s="1254"/>
      <c r="G43" s="806" t="s">
        <v>447</v>
      </c>
      <c r="H43" s="795"/>
    </row>
    <row r="44" spans="2:8" ht="13.8" thickBot="1" x14ac:dyDescent="0.3">
      <c r="B44" s="794"/>
      <c r="C44" s="716" t="s">
        <v>448</v>
      </c>
      <c r="D44" s="843">
        <v>0.78500000000000003</v>
      </c>
      <c r="E44" s="843" t="s">
        <v>449</v>
      </c>
      <c r="F44" s="843" t="s">
        <v>138</v>
      </c>
      <c r="G44" s="811">
        <v>0.75</v>
      </c>
      <c r="H44" s="795"/>
    </row>
    <row r="45" spans="2:8" x14ac:dyDescent="0.25">
      <c r="B45" s="794"/>
      <c r="C45" s="691"/>
      <c r="H45" s="795"/>
    </row>
    <row r="46" spans="2:8" x14ac:dyDescent="0.25">
      <c r="B46" s="794"/>
      <c r="C46" s="844" t="s">
        <v>450</v>
      </c>
      <c r="H46" s="795"/>
    </row>
    <row r="47" spans="2:8" x14ac:dyDescent="0.25">
      <c r="B47" s="794"/>
      <c r="H47" s="795"/>
    </row>
    <row r="48" spans="2:8" x14ac:dyDescent="0.25">
      <c r="B48" s="794"/>
      <c r="C48" s="719" t="s">
        <v>415</v>
      </c>
      <c r="H48" s="795"/>
    </row>
    <row r="49" spans="2:8" ht="13.8" thickBot="1" x14ac:dyDescent="0.3">
      <c r="B49" s="812"/>
      <c r="C49" s="845"/>
      <c r="D49" s="627"/>
      <c r="E49" s="627"/>
      <c r="F49" s="627"/>
      <c r="G49" s="627"/>
      <c r="H49" s="813"/>
    </row>
  </sheetData>
  <sheetProtection algorithmName="SHA-512" hashValue="T7u3vsRVN5MF6BxviioNYPjEiEv78/sEvrq3yMO340iMV0DvRlTSSsPwF+oTJaS5UKXwtsEnRpoPfKVasCA3Zw==" saltValue="0wOd2VnDTHXW72Df+dbMjA==" spinCount="100000" sheet="1" objects="1" scenarios="1"/>
  <mergeCells count="6">
    <mergeCell ref="D14:G14"/>
    <mergeCell ref="H14:I14"/>
    <mergeCell ref="C42:C43"/>
    <mergeCell ref="D42:D43"/>
    <mergeCell ref="E42:E43"/>
    <mergeCell ref="F42:F43"/>
  </mergeCells>
  <phoneticPr fontId="7" type="noConversion"/>
  <dataValidations count="2">
    <dataValidation type="list" allowBlank="1" showInputMessage="1" showErrorMessage="1" sqref="D17:D27" xr:uid="{E4121741-16FF-4A30-BD02-3EB6B58C6320}">
      <formula1>$C$41:$C$44</formula1>
    </dataValidation>
    <dataValidation type="decimal" errorStyle="information" operator="greaterThan" allowBlank="1" showInputMessage="1" showErrorMessage="1" errorTitle="Incorrect Value" error="Value must be greater than zero." sqref="E17:J27" xr:uid="{E85B6687-4704-47FE-A7FF-83B3F528512D}">
      <formula1>0</formula1>
    </dataValidation>
  </dataValidations>
  <pageMargins left="0.75" right="0.75" top="1" bottom="1" header="0.5" footer="0.5"/>
  <pageSetup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BB377-24F6-4D8C-B2D1-B6107B54538C}">
  <sheetPr>
    <tabColor rgb="FF00C6B9"/>
  </sheetPr>
  <dimension ref="A1:F23"/>
  <sheetViews>
    <sheetView showGridLines="0" workbookViewId="0"/>
  </sheetViews>
  <sheetFormatPr defaultRowHeight="13.2" x14ac:dyDescent="0.25"/>
  <cols>
    <col min="1" max="1" width="9.109375" style="613"/>
    <col min="2" max="2" width="23.6640625" style="613" customWidth="1"/>
    <col min="3" max="3" width="23.33203125" style="613" customWidth="1"/>
    <col min="4" max="4" width="34" style="613" customWidth="1"/>
    <col min="5" max="5" width="30.44140625" style="613" customWidth="1"/>
    <col min="6" max="6" width="16" style="613" customWidth="1"/>
    <col min="7" max="257" width="9.109375" style="613"/>
    <col min="258" max="258" width="23.6640625" style="613" customWidth="1"/>
    <col min="259" max="259" width="23.33203125" style="613" customWidth="1"/>
    <col min="260" max="260" width="34" style="613" customWidth="1"/>
    <col min="261" max="261" width="30.44140625" style="613" customWidth="1"/>
    <col min="262" max="262" width="16" style="613" customWidth="1"/>
    <col min="263" max="513" width="9.109375" style="613"/>
    <col min="514" max="514" width="23.6640625" style="613" customWidth="1"/>
    <col min="515" max="515" width="23.33203125" style="613" customWidth="1"/>
    <col min="516" max="516" width="34" style="613" customWidth="1"/>
    <col min="517" max="517" width="30.44140625" style="613" customWidth="1"/>
    <col min="518" max="518" width="16" style="613" customWidth="1"/>
    <col min="519" max="769" width="9.109375" style="613"/>
    <col min="770" max="770" width="23.6640625" style="613" customWidth="1"/>
    <col min="771" max="771" width="23.33203125" style="613" customWidth="1"/>
    <col min="772" max="772" width="34" style="613" customWidth="1"/>
    <col min="773" max="773" width="30.44140625" style="613" customWidth="1"/>
    <col min="774" max="774" width="16" style="613" customWidth="1"/>
    <col min="775" max="1025" width="9.109375" style="613"/>
    <col min="1026" max="1026" width="23.6640625" style="613" customWidth="1"/>
    <col min="1027" max="1027" width="23.33203125" style="613" customWidth="1"/>
    <col min="1028" max="1028" width="34" style="613" customWidth="1"/>
    <col min="1029" max="1029" width="30.44140625" style="613" customWidth="1"/>
    <col min="1030" max="1030" width="16" style="613" customWidth="1"/>
    <col min="1031" max="1281" width="9.109375" style="613"/>
    <col min="1282" max="1282" width="23.6640625" style="613" customWidth="1"/>
    <col min="1283" max="1283" width="23.33203125" style="613" customWidth="1"/>
    <col min="1284" max="1284" width="34" style="613" customWidth="1"/>
    <col min="1285" max="1285" width="30.44140625" style="613" customWidth="1"/>
    <col min="1286" max="1286" width="16" style="613" customWidth="1"/>
    <col min="1287" max="1537" width="9.109375" style="613"/>
    <col min="1538" max="1538" width="23.6640625" style="613" customWidth="1"/>
    <col min="1539" max="1539" width="23.33203125" style="613" customWidth="1"/>
    <col min="1540" max="1540" width="34" style="613" customWidth="1"/>
    <col min="1541" max="1541" width="30.44140625" style="613" customWidth="1"/>
    <col min="1542" max="1542" width="16" style="613" customWidth="1"/>
    <col min="1543" max="1793" width="9.109375" style="613"/>
    <col min="1794" max="1794" width="23.6640625" style="613" customWidth="1"/>
    <col min="1795" max="1795" width="23.33203125" style="613" customWidth="1"/>
    <col min="1796" max="1796" width="34" style="613" customWidth="1"/>
    <col min="1797" max="1797" width="30.44140625" style="613" customWidth="1"/>
    <col min="1798" max="1798" width="16" style="613" customWidth="1"/>
    <col min="1799" max="2049" width="9.109375" style="613"/>
    <col min="2050" max="2050" width="23.6640625" style="613" customWidth="1"/>
    <col min="2051" max="2051" width="23.33203125" style="613" customWidth="1"/>
    <col min="2052" max="2052" width="34" style="613" customWidth="1"/>
    <col min="2053" max="2053" width="30.44140625" style="613" customWidth="1"/>
    <col min="2054" max="2054" width="16" style="613" customWidth="1"/>
    <col min="2055" max="2305" width="9.109375" style="613"/>
    <col min="2306" max="2306" width="23.6640625" style="613" customWidth="1"/>
    <col min="2307" max="2307" width="23.33203125" style="613" customWidth="1"/>
    <col min="2308" max="2308" width="34" style="613" customWidth="1"/>
    <col min="2309" max="2309" width="30.44140625" style="613" customWidth="1"/>
    <col min="2310" max="2310" width="16" style="613" customWidth="1"/>
    <col min="2311" max="2561" width="9.109375" style="613"/>
    <col min="2562" max="2562" width="23.6640625" style="613" customWidth="1"/>
    <col min="2563" max="2563" width="23.33203125" style="613" customWidth="1"/>
    <col min="2564" max="2564" width="34" style="613" customWidth="1"/>
    <col min="2565" max="2565" width="30.44140625" style="613" customWidth="1"/>
    <col min="2566" max="2566" width="16" style="613" customWidth="1"/>
    <col min="2567" max="2817" width="9.109375" style="613"/>
    <col min="2818" max="2818" width="23.6640625" style="613" customWidth="1"/>
    <col min="2819" max="2819" width="23.33203125" style="613" customWidth="1"/>
    <col min="2820" max="2820" width="34" style="613" customWidth="1"/>
    <col min="2821" max="2821" width="30.44140625" style="613" customWidth="1"/>
    <col min="2822" max="2822" width="16" style="613" customWidth="1"/>
    <col min="2823" max="3073" width="9.109375" style="613"/>
    <col min="3074" max="3074" width="23.6640625" style="613" customWidth="1"/>
    <col min="3075" max="3075" width="23.33203125" style="613" customWidth="1"/>
    <col min="3076" max="3076" width="34" style="613" customWidth="1"/>
    <col min="3077" max="3077" width="30.44140625" style="613" customWidth="1"/>
    <col min="3078" max="3078" width="16" style="613" customWidth="1"/>
    <col min="3079" max="3329" width="9.109375" style="613"/>
    <col min="3330" max="3330" width="23.6640625" style="613" customWidth="1"/>
    <col min="3331" max="3331" width="23.33203125" style="613" customWidth="1"/>
    <col min="3332" max="3332" width="34" style="613" customWidth="1"/>
    <col min="3333" max="3333" width="30.44140625" style="613" customWidth="1"/>
    <col min="3334" max="3334" width="16" style="613" customWidth="1"/>
    <col min="3335" max="3585" width="9.109375" style="613"/>
    <col min="3586" max="3586" width="23.6640625" style="613" customWidth="1"/>
    <col min="3587" max="3587" width="23.33203125" style="613" customWidth="1"/>
    <col min="3588" max="3588" width="34" style="613" customWidth="1"/>
    <col min="3589" max="3589" width="30.44140625" style="613" customWidth="1"/>
    <col min="3590" max="3590" width="16" style="613" customWidth="1"/>
    <col min="3591" max="3841" width="9.109375" style="613"/>
    <col min="3842" max="3842" width="23.6640625" style="613" customWidth="1"/>
    <col min="3843" max="3843" width="23.33203125" style="613" customWidth="1"/>
    <col min="3844" max="3844" width="34" style="613" customWidth="1"/>
    <col min="3845" max="3845" width="30.44140625" style="613" customWidth="1"/>
    <col min="3846" max="3846" width="16" style="613" customWidth="1"/>
    <col min="3847" max="4097" width="9.109375" style="613"/>
    <col min="4098" max="4098" width="23.6640625" style="613" customWidth="1"/>
    <col min="4099" max="4099" width="23.33203125" style="613" customWidth="1"/>
    <col min="4100" max="4100" width="34" style="613" customWidth="1"/>
    <col min="4101" max="4101" width="30.44140625" style="613" customWidth="1"/>
    <col min="4102" max="4102" width="16" style="613" customWidth="1"/>
    <col min="4103" max="4353" width="9.109375" style="613"/>
    <col min="4354" max="4354" width="23.6640625" style="613" customWidth="1"/>
    <col min="4355" max="4355" width="23.33203125" style="613" customWidth="1"/>
    <col min="4356" max="4356" width="34" style="613" customWidth="1"/>
    <col min="4357" max="4357" width="30.44140625" style="613" customWidth="1"/>
    <col min="4358" max="4358" width="16" style="613" customWidth="1"/>
    <col min="4359" max="4609" width="9.109375" style="613"/>
    <col min="4610" max="4610" width="23.6640625" style="613" customWidth="1"/>
    <col min="4611" max="4611" width="23.33203125" style="613" customWidth="1"/>
    <col min="4612" max="4612" width="34" style="613" customWidth="1"/>
    <col min="4613" max="4613" width="30.44140625" style="613" customWidth="1"/>
    <col min="4614" max="4614" width="16" style="613" customWidth="1"/>
    <col min="4615" max="4865" width="9.109375" style="613"/>
    <col min="4866" max="4866" width="23.6640625" style="613" customWidth="1"/>
    <col min="4867" max="4867" width="23.33203125" style="613" customWidth="1"/>
    <col min="4868" max="4868" width="34" style="613" customWidth="1"/>
    <col min="4869" max="4869" width="30.44140625" style="613" customWidth="1"/>
    <col min="4870" max="4870" width="16" style="613" customWidth="1"/>
    <col min="4871" max="5121" width="9.109375" style="613"/>
    <col min="5122" max="5122" width="23.6640625" style="613" customWidth="1"/>
    <col min="5123" max="5123" width="23.33203125" style="613" customWidth="1"/>
    <col min="5124" max="5124" width="34" style="613" customWidth="1"/>
    <col min="5125" max="5125" width="30.44140625" style="613" customWidth="1"/>
    <col min="5126" max="5126" width="16" style="613" customWidth="1"/>
    <col min="5127" max="5377" width="9.109375" style="613"/>
    <col min="5378" max="5378" width="23.6640625" style="613" customWidth="1"/>
    <col min="5379" max="5379" width="23.33203125" style="613" customWidth="1"/>
    <col min="5380" max="5380" width="34" style="613" customWidth="1"/>
    <col min="5381" max="5381" width="30.44140625" style="613" customWidth="1"/>
    <col min="5382" max="5382" width="16" style="613" customWidth="1"/>
    <col min="5383" max="5633" width="9.109375" style="613"/>
    <col min="5634" max="5634" width="23.6640625" style="613" customWidth="1"/>
    <col min="5635" max="5635" width="23.33203125" style="613" customWidth="1"/>
    <col min="5636" max="5636" width="34" style="613" customWidth="1"/>
    <col min="5637" max="5637" width="30.44140625" style="613" customWidth="1"/>
    <col min="5638" max="5638" width="16" style="613" customWidth="1"/>
    <col min="5639" max="5889" width="9.109375" style="613"/>
    <col min="5890" max="5890" width="23.6640625" style="613" customWidth="1"/>
    <col min="5891" max="5891" width="23.33203125" style="613" customWidth="1"/>
    <col min="5892" max="5892" width="34" style="613" customWidth="1"/>
    <col min="5893" max="5893" width="30.44140625" style="613" customWidth="1"/>
    <col min="5894" max="5894" width="16" style="613" customWidth="1"/>
    <col min="5895" max="6145" width="9.109375" style="613"/>
    <col min="6146" max="6146" width="23.6640625" style="613" customWidth="1"/>
    <col min="6147" max="6147" width="23.33203125" style="613" customWidth="1"/>
    <col min="6148" max="6148" width="34" style="613" customWidth="1"/>
    <col min="6149" max="6149" width="30.44140625" style="613" customWidth="1"/>
    <col min="6150" max="6150" width="16" style="613" customWidth="1"/>
    <col min="6151" max="6401" width="9.109375" style="613"/>
    <col min="6402" max="6402" width="23.6640625" style="613" customWidth="1"/>
    <col min="6403" max="6403" width="23.33203125" style="613" customWidth="1"/>
    <col min="6404" max="6404" width="34" style="613" customWidth="1"/>
    <col min="6405" max="6405" width="30.44140625" style="613" customWidth="1"/>
    <col min="6406" max="6406" width="16" style="613" customWidth="1"/>
    <col min="6407" max="6657" width="9.109375" style="613"/>
    <col min="6658" max="6658" width="23.6640625" style="613" customWidth="1"/>
    <col min="6659" max="6659" width="23.33203125" style="613" customWidth="1"/>
    <col min="6660" max="6660" width="34" style="613" customWidth="1"/>
    <col min="6661" max="6661" width="30.44140625" style="613" customWidth="1"/>
    <col min="6662" max="6662" width="16" style="613" customWidth="1"/>
    <col min="6663" max="6913" width="9.109375" style="613"/>
    <col min="6914" max="6914" width="23.6640625" style="613" customWidth="1"/>
    <col min="6915" max="6915" width="23.33203125" style="613" customWidth="1"/>
    <col min="6916" max="6916" width="34" style="613" customWidth="1"/>
    <col min="6917" max="6917" width="30.44140625" style="613" customWidth="1"/>
    <col min="6918" max="6918" width="16" style="613" customWidth="1"/>
    <col min="6919" max="7169" width="9.109375" style="613"/>
    <col min="7170" max="7170" width="23.6640625" style="613" customWidth="1"/>
    <col min="7171" max="7171" width="23.33203125" style="613" customWidth="1"/>
    <col min="7172" max="7172" width="34" style="613" customWidth="1"/>
    <col min="7173" max="7173" width="30.44140625" style="613" customWidth="1"/>
    <col min="7174" max="7174" width="16" style="613" customWidth="1"/>
    <col min="7175" max="7425" width="9.109375" style="613"/>
    <col min="7426" max="7426" width="23.6640625" style="613" customWidth="1"/>
    <col min="7427" max="7427" width="23.33203125" style="613" customWidth="1"/>
    <col min="7428" max="7428" width="34" style="613" customWidth="1"/>
    <col min="7429" max="7429" width="30.44140625" style="613" customWidth="1"/>
    <col min="7430" max="7430" width="16" style="613" customWidth="1"/>
    <col min="7431" max="7681" width="9.109375" style="613"/>
    <col min="7682" max="7682" width="23.6640625" style="613" customWidth="1"/>
    <col min="7683" max="7683" width="23.33203125" style="613" customWidth="1"/>
    <col min="7684" max="7684" width="34" style="613" customWidth="1"/>
    <col min="7685" max="7685" width="30.44140625" style="613" customWidth="1"/>
    <col min="7686" max="7686" width="16" style="613" customWidth="1"/>
    <col min="7687" max="7937" width="9.109375" style="613"/>
    <col min="7938" max="7938" width="23.6640625" style="613" customWidth="1"/>
    <col min="7939" max="7939" width="23.33203125" style="613" customWidth="1"/>
    <col min="7940" max="7940" width="34" style="613" customWidth="1"/>
    <col min="7941" max="7941" width="30.44140625" style="613" customWidth="1"/>
    <col min="7942" max="7942" width="16" style="613" customWidth="1"/>
    <col min="7943" max="8193" width="9.109375" style="613"/>
    <col min="8194" max="8194" width="23.6640625" style="613" customWidth="1"/>
    <col min="8195" max="8195" width="23.33203125" style="613" customWidth="1"/>
    <col min="8196" max="8196" width="34" style="613" customWidth="1"/>
    <col min="8197" max="8197" width="30.44140625" style="613" customWidth="1"/>
    <col min="8198" max="8198" width="16" style="613" customWidth="1"/>
    <col min="8199" max="8449" width="9.109375" style="613"/>
    <col min="8450" max="8450" width="23.6640625" style="613" customWidth="1"/>
    <col min="8451" max="8451" width="23.33203125" style="613" customWidth="1"/>
    <col min="8452" max="8452" width="34" style="613" customWidth="1"/>
    <col min="8453" max="8453" width="30.44140625" style="613" customWidth="1"/>
    <col min="8454" max="8454" width="16" style="613" customWidth="1"/>
    <col min="8455" max="8705" width="9.109375" style="613"/>
    <col min="8706" max="8706" width="23.6640625" style="613" customWidth="1"/>
    <col min="8707" max="8707" width="23.33203125" style="613" customWidth="1"/>
    <col min="8708" max="8708" width="34" style="613" customWidth="1"/>
    <col min="8709" max="8709" width="30.44140625" style="613" customWidth="1"/>
    <col min="8710" max="8710" width="16" style="613" customWidth="1"/>
    <col min="8711" max="8961" width="9.109375" style="613"/>
    <col min="8962" max="8962" width="23.6640625" style="613" customWidth="1"/>
    <col min="8963" max="8963" width="23.33203125" style="613" customWidth="1"/>
    <col min="8964" max="8964" width="34" style="613" customWidth="1"/>
    <col min="8965" max="8965" width="30.44140625" style="613" customWidth="1"/>
    <col min="8966" max="8966" width="16" style="613" customWidth="1"/>
    <col min="8967" max="9217" width="9.109375" style="613"/>
    <col min="9218" max="9218" width="23.6640625" style="613" customWidth="1"/>
    <col min="9219" max="9219" width="23.33203125" style="613" customWidth="1"/>
    <col min="9220" max="9220" width="34" style="613" customWidth="1"/>
    <col min="9221" max="9221" width="30.44140625" style="613" customWidth="1"/>
    <col min="9222" max="9222" width="16" style="613" customWidth="1"/>
    <col min="9223" max="9473" width="9.109375" style="613"/>
    <col min="9474" max="9474" width="23.6640625" style="613" customWidth="1"/>
    <col min="9475" max="9475" width="23.33203125" style="613" customWidth="1"/>
    <col min="9476" max="9476" width="34" style="613" customWidth="1"/>
    <col min="9477" max="9477" width="30.44140625" style="613" customWidth="1"/>
    <col min="9478" max="9478" width="16" style="613" customWidth="1"/>
    <col min="9479" max="9729" width="9.109375" style="613"/>
    <col min="9730" max="9730" width="23.6640625" style="613" customWidth="1"/>
    <col min="9731" max="9731" width="23.33203125" style="613" customWidth="1"/>
    <col min="9732" max="9732" width="34" style="613" customWidth="1"/>
    <col min="9733" max="9733" width="30.44140625" style="613" customWidth="1"/>
    <col min="9734" max="9734" width="16" style="613" customWidth="1"/>
    <col min="9735" max="9985" width="9.109375" style="613"/>
    <col min="9986" max="9986" width="23.6640625" style="613" customWidth="1"/>
    <col min="9987" max="9987" width="23.33203125" style="613" customWidth="1"/>
    <col min="9988" max="9988" width="34" style="613" customWidth="1"/>
    <col min="9989" max="9989" width="30.44140625" style="613" customWidth="1"/>
    <col min="9990" max="9990" width="16" style="613" customWidth="1"/>
    <col min="9991" max="10241" width="9.109375" style="613"/>
    <col min="10242" max="10242" width="23.6640625" style="613" customWidth="1"/>
    <col min="10243" max="10243" width="23.33203125" style="613" customWidth="1"/>
    <col min="10244" max="10244" width="34" style="613" customWidth="1"/>
    <col min="10245" max="10245" width="30.44140625" style="613" customWidth="1"/>
    <col min="10246" max="10246" width="16" style="613" customWidth="1"/>
    <col min="10247" max="10497" width="9.109375" style="613"/>
    <col min="10498" max="10498" width="23.6640625" style="613" customWidth="1"/>
    <col min="10499" max="10499" width="23.33203125" style="613" customWidth="1"/>
    <col min="10500" max="10500" width="34" style="613" customWidth="1"/>
    <col min="10501" max="10501" width="30.44140625" style="613" customWidth="1"/>
    <col min="10502" max="10502" width="16" style="613" customWidth="1"/>
    <col min="10503" max="10753" width="9.109375" style="613"/>
    <col min="10754" max="10754" width="23.6640625" style="613" customWidth="1"/>
    <col min="10755" max="10755" width="23.33203125" style="613" customWidth="1"/>
    <col min="10756" max="10756" width="34" style="613" customWidth="1"/>
    <col min="10757" max="10757" width="30.44140625" style="613" customWidth="1"/>
    <col min="10758" max="10758" width="16" style="613" customWidth="1"/>
    <col min="10759" max="11009" width="9.109375" style="613"/>
    <col min="11010" max="11010" width="23.6640625" style="613" customWidth="1"/>
    <col min="11011" max="11011" width="23.33203125" style="613" customWidth="1"/>
    <col min="11012" max="11012" width="34" style="613" customWidth="1"/>
    <col min="11013" max="11013" width="30.44140625" style="613" customWidth="1"/>
    <col min="11014" max="11014" width="16" style="613" customWidth="1"/>
    <col min="11015" max="11265" width="9.109375" style="613"/>
    <col min="11266" max="11266" width="23.6640625" style="613" customWidth="1"/>
    <col min="11267" max="11267" width="23.33203125" style="613" customWidth="1"/>
    <col min="11268" max="11268" width="34" style="613" customWidth="1"/>
    <col min="11269" max="11269" width="30.44140625" style="613" customWidth="1"/>
    <col min="11270" max="11270" width="16" style="613" customWidth="1"/>
    <col min="11271" max="11521" width="9.109375" style="613"/>
    <col min="11522" max="11522" width="23.6640625" style="613" customWidth="1"/>
    <col min="11523" max="11523" width="23.33203125" style="613" customWidth="1"/>
    <col min="11524" max="11524" width="34" style="613" customWidth="1"/>
    <col min="11525" max="11525" width="30.44140625" style="613" customWidth="1"/>
    <col min="11526" max="11526" width="16" style="613" customWidth="1"/>
    <col min="11527" max="11777" width="9.109375" style="613"/>
    <col min="11778" max="11778" width="23.6640625" style="613" customWidth="1"/>
    <col min="11779" max="11779" width="23.33203125" style="613" customWidth="1"/>
    <col min="11780" max="11780" width="34" style="613" customWidth="1"/>
    <col min="11781" max="11781" width="30.44140625" style="613" customWidth="1"/>
    <col min="11782" max="11782" width="16" style="613" customWidth="1"/>
    <col min="11783" max="12033" width="9.109375" style="613"/>
    <col min="12034" max="12034" width="23.6640625" style="613" customWidth="1"/>
    <col min="12035" max="12035" width="23.33203125" style="613" customWidth="1"/>
    <col min="12036" max="12036" width="34" style="613" customWidth="1"/>
    <col min="12037" max="12037" width="30.44140625" style="613" customWidth="1"/>
    <col min="12038" max="12038" width="16" style="613" customWidth="1"/>
    <col min="12039" max="12289" width="9.109375" style="613"/>
    <col min="12290" max="12290" width="23.6640625" style="613" customWidth="1"/>
    <col min="12291" max="12291" width="23.33203125" style="613" customWidth="1"/>
    <col min="12292" max="12292" width="34" style="613" customWidth="1"/>
    <col min="12293" max="12293" width="30.44140625" style="613" customWidth="1"/>
    <col min="12294" max="12294" width="16" style="613" customWidth="1"/>
    <col min="12295" max="12545" width="9.109375" style="613"/>
    <col min="12546" max="12546" width="23.6640625" style="613" customWidth="1"/>
    <col min="12547" max="12547" width="23.33203125" style="613" customWidth="1"/>
    <col min="12548" max="12548" width="34" style="613" customWidth="1"/>
    <col min="12549" max="12549" width="30.44140625" style="613" customWidth="1"/>
    <col min="12550" max="12550" width="16" style="613" customWidth="1"/>
    <col min="12551" max="12801" width="9.109375" style="613"/>
    <col min="12802" max="12802" width="23.6640625" style="613" customWidth="1"/>
    <col min="12803" max="12803" width="23.33203125" style="613" customWidth="1"/>
    <col min="12804" max="12804" width="34" style="613" customWidth="1"/>
    <col min="12805" max="12805" width="30.44140625" style="613" customWidth="1"/>
    <col min="12806" max="12806" width="16" style="613" customWidth="1"/>
    <col min="12807" max="13057" width="9.109375" style="613"/>
    <col min="13058" max="13058" width="23.6640625" style="613" customWidth="1"/>
    <col min="13059" max="13059" width="23.33203125" style="613" customWidth="1"/>
    <col min="13060" max="13060" width="34" style="613" customWidth="1"/>
    <col min="13061" max="13061" width="30.44140625" style="613" customWidth="1"/>
    <col min="13062" max="13062" width="16" style="613" customWidth="1"/>
    <col min="13063" max="13313" width="9.109375" style="613"/>
    <col min="13314" max="13314" width="23.6640625" style="613" customWidth="1"/>
    <col min="13315" max="13315" width="23.33203125" style="613" customWidth="1"/>
    <col min="13316" max="13316" width="34" style="613" customWidth="1"/>
    <col min="13317" max="13317" width="30.44140625" style="613" customWidth="1"/>
    <col min="13318" max="13318" width="16" style="613" customWidth="1"/>
    <col min="13319" max="13569" width="9.109375" style="613"/>
    <col min="13570" max="13570" width="23.6640625" style="613" customWidth="1"/>
    <col min="13571" max="13571" width="23.33203125" style="613" customWidth="1"/>
    <col min="13572" max="13572" width="34" style="613" customWidth="1"/>
    <col min="13573" max="13573" width="30.44140625" style="613" customWidth="1"/>
    <col min="13574" max="13574" width="16" style="613" customWidth="1"/>
    <col min="13575" max="13825" width="9.109375" style="613"/>
    <col min="13826" max="13826" width="23.6640625" style="613" customWidth="1"/>
    <col min="13827" max="13827" width="23.33203125" style="613" customWidth="1"/>
    <col min="13828" max="13828" width="34" style="613" customWidth="1"/>
    <col min="13829" max="13829" width="30.44140625" style="613" customWidth="1"/>
    <col min="13830" max="13830" width="16" style="613" customWidth="1"/>
    <col min="13831" max="14081" width="9.109375" style="613"/>
    <col min="14082" max="14082" width="23.6640625" style="613" customWidth="1"/>
    <col min="14083" max="14083" width="23.33203125" style="613" customWidth="1"/>
    <col min="14084" max="14084" width="34" style="613" customWidth="1"/>
    <col min="14085" max="14085" width="30.44140625" style="613" customWidth="1"/>
    <col min="14086" max="14086" width="16" style="613" customWidth="1"/>
    <col min="14087" max="14337" width="9.109375" style="613"/>
    <col min="14338" max="14338" width="23.6640625" style="613" customWidth="1"/>
    <col min="14339" max="14339" width="23.33203125" style="613" customWidth="1"/>
    <col min="14340" max="14340" width="34" style="613" customWidth="1"/>
    <col min="14341" max="14341" width="30.44140625" style="613" customWidth="1"/>
    <col min="14342" max="14342" width="16" style="613" customWidth="1"/>
    <col min="14343" max="14593" width="9.109375" style="613"/>
    <col min="14594" max="14594" width="23.6640625" style="613" customWidth="1"/>
    <col min="14595" max="14595" width="23.33203125" style="613" customWidth="1"/>
    <col min="14596" max="14596" width="34" style="613" customWidth="1"/>
    <col min="14597" max="14597" width="30.44140625" style="613" customWidth="1"/>
    <col min="14598" max="14598" width="16" style="613" customWidth="1"/>
    <col min="14599" max="14849" width="9.109375" style="613"/>
    <col min="14850" max="14850" width="23.6640625" style="613" customWidth="1"/>
    <col min="14851" max="14851" width="23.33203125" style="613" customWidth="1"/>
    <col min="14852" max="14852" width="34" style="613" customWidth="1"/>
    <col min="14853" max="14853" width="30.44140625" style="613" customWidth="1"/>
    <col min="14854" max="14854" width="16" style="613" customWidth="1"/>
    <col min="14855" max="15105" width="9.109375" style="613"/>
    <col min="15106" max="15106" width="23.6640625" style="613" customWidth="1"/>
    <col min="15107" max="15107" width="23.33203125" style="613" customWidth="1"/>
    <col min="15108" max="15108" width="34" style="613" customWidth="1"/>
    <col min="15109" max="15109" width="30.44140625" style="613" customWidth="1"/>
    <col min="15110" max="15110" width="16" style="613" customWidth="1"/>
    <col min="15111" max="15361" width="9.109375" style="613"/>
    <col min="15362" max="15362" width="23.6640625" style="613" customWidth="1"/>
    <col min="15363" max="15363" width="23.33203125" style="613" customWidth="1"/>
    <col min="15364" max="15364" width="34" style="613" customWidth="1"/>
    <col min="15365" max="15365" width="30.44140625" style="613" customWidth="1"/>
    <col min="15366" max="15366" width="16" style="613" customWidth="1"/>
    <col min="15367" max="15617" width="9.109375" style="613"/>
    <col min="15618" max="15618" width="23.6640625" style="613" customWidth="1"/>
    <col min="15619" max="15619" width="23.33203125" style="613" customWidth="1"/>
    <col min="15620" max="15620" width="34" style="613" customWidth="1"/>
    <col min="15621" max="15621" width="30.44140625" style="613" customWidth="1"/>
    <col min="15622" max="15622" width="16" style="613" customWidth="1"/>
    <col min="15623" max="15873" width="9.109375" style="613"/>
    <col min="15874" max="15874" width="23.6640625" style="613" customWidth="1"/>
    <col min="15875" max="15875" width="23.33203125" style="613" customWidth="1"/>
    <col min="15876" max="15876" width="34" style="613" customWidth="1"/>
    <col min="15877" max="15877" width="30.44140625" style="613" customWidth="1"/>
    <col min="15878" max="15878" width="16" style="613" customWidth="1"/>
    <col min="15879" max="16129" width="9.109375" style="613"/>
    <col min="16130" max="16130" width="23.6640625" style="613" customWidth="1"/>
    <col min="16131" max="16131" width="23.33203125" style="613" customWidth="1"/>
    <col min="16132" max="16132" width="34" style="613" customWidth="1"/>
    <col min="16133" max="16133" width="30.44140625" style="613" customWidth="1"/>
    <col min="16134" max="16134" width="16" style="613" customWidth="1"/>
    <col min="16135" max="16384" width="9.109375" style="613"/>
  </cols>
  <sheetData>
    <row r="1" spans="1:6" x14ac:dyDescent="0.25">
      <c r="B1" s="851"/>
    </row>
    <row r="2" spans="1:6" ht="15.6" x14ac:dyDescent="0.3">
      <c r="B2" s="852" t="s">
        <v>451</v>
      </c>
      <c r="E2" s="853"/>
      <c r="F2" s="854" t="s">
        <v>225</v>
      </c>
    </row>
    <row r="3" spans="1:6" x14ac:dyDescent="0.25">
      <c r="B3" s="851"/>
      <c r="E3" s="855"/>
      <c r="F3" s="854" t="s">
        <v>226</v>
      </c>
    </row>
    <row r="4" spans="1:6" ht="15.6" x14ac:dyDescent="0.35">
      <c r="B4" s="851" t="s">
        <v>452</v>
      </c>
      <c r="E4" s="766"/>
      <c r="F4" s="613" t="s">
        <v>7</v>
      </c>
    </row>
    <row r="5" spans="1:6" ht="13.8" thickBot="1" x14ac:dyDescent="0.3">
      <c r="B5" s="856"/>
    </row>
    <row r="6" spans="1:6" ht="37.5" customHeight="1" thickBot="1" x14ac:dyDescent="0.3">
      <c r="B6" s="857" t="s">
        <v>453</v>
      </c>
      <c r="C6" s="858" t="s">
        <v>454</v>
      </c>
      <c r="D6" s="858" t="s">
        <v>455</v>
      </c>
      <c r="E6" s="858" t="s">
        <v>456</v>
      </c>
      <c r="F6" s="859" t="s">
        <v>457</v>
      </c>
    </row>
    <row r="7" spans="1:6" ht="13.8" thickBot="1" x14ac:dyDescent="0.3">
      <c r="A7" s="613" t="s">
        <v>428</v>
      </c>
      <c r="B7" s="860">
        <v>20</v>
      </c>
      <c r="C7" s="861">
        <v>100</v>
      </c>
      <c r="D7" s="861">
        <v>0.9</v>
      </c>
      <c r="E7" s="861">
        <v>0.95</v>
      </c>
      <c r="F7" s="862">
        <f>IF(B7=0, 0, (1+(B7/C7)*D7*E7))</f>
        <v>1.171</v>
      </c>
    </row>
    <row r="8" spans="1:6" x14ac:dyDescent="0.25">
      <c r="B8" s="863"/>
      <c r="C8" s="864"/>
      <c r="D8" s="864"/>
      <c r="E8" s="865"/>
      <c r="F8" s="872">
        <f t="shared" ref="F8:F23" si="0">IF(B8=0, 0, (1+(B8/C8)*D8*E8))</f>
        <v>0</v>
      </c>
    </row>
    <row r="9" spans="1:6" x14ac:dyDescent="0.25">
      <c r="B9" s="866"/>
      <c r="C9" s="867"/>
      <c r="D9" s="867"/>
      <c r="E9" s="868"/>
      <c r="F9" s="872">
        <f t="shared" si="0"/>
        <v>0</v>
      </c>
    </row>
    <row r="10" spans="1:6" x14ac:dyDescent="0.25">
      <c r="B10" s="866"/>
      <c r="C10" s="867"/>
      <c r="D10" s="867"/>
      <c r="E10" s="868"/>
      <c r="F10" s="872">
        <f>IF(B10=0, 0, (1+(B10/C10)*D10*E10))</f>
        <v>0</v>
      </c>
    </row>
    <row r="11" spans="1:6" x14ac:dyDescent="0.25">
      <c r="B11" s="866"/>
      <c r="C11" s="867"/>
      <c r="D11" s="867"/>
      <c r="E11" s="868"/>
      <c r="F11" s="872">
        <f t="shared" si="0"/>
        <v>0</v>
      </c>
    </row>
    <row r="12" spans="1:6" x14ac:dyDescent="0.25">
      <c r="B12" s="866"/>
      <c r="C12" s="867"/>
      <c r="D12" s="867"/>
      <c r="E12" s="868"/>
      <c r="F12" s="872">
        <f t="shared" si="0"/>
        <v>0</v>
      </c>
    </row>
    <row r="13" spans="1:6" x14ac:dyDescent="0.25">
      <c r="B13" s="866"/>
      <c r="C13" s="867"/>
      <c r="D13" s="867"/>
      <c r="E13" s="868"/>
      <c r="F13" s="872">
        <f t="shared" si="0"/>
        <v>0</v>
      </c>
    </row>
    <row r="14" spans="1:6" x14ac:dyDescent="0.25">
      <c r="B14" s="866"/>
      <c r="C14" s="867"/>
      <c r="D14" s="867"/>
      <c r="E14" s="868"/>
      <c r="F14" s="872">
        <f t="shared" si="0"/>
        <v>0</v>
      </c>
    </row>
    <row r="15" spans="1:6" x14ac:dyDescent="0.25">
      <c r="B15" s="866"/>
      <c r="C15" s="867"/>
      <c r="D15" s="867"/>
      <c r="E15" s="868"/>
      <c r="F15" s="872">
        <f t="shared" si="0"/>
        <v>0</v>
      </c>
    </row>
    <row r="16" spans="1:6" x14ac:dyDescent="0.25">
      <c r="B16" s="866"/>
      <c r="C16" s="867"/>
      <c r="D16" s="867"/>
      <c r="E16" s="868"/>
      <c r="F16" s="872">
        <f t="shared" si="0"/>
        <v>0</v>
      </c>
    </row>
    <row r="17" spans="2:6" x14ac:dyDescent="0.25">
      <c r="B17" s="866"/>
      <c r="C17" s="867"/>
      <c r="D17" s="867"/>
      <c r="E17" s="868"/>
      <c r="F17" s="872">
        <f t="shared" si="0"/>
        <v>0</v>
      </c>
    </row>
    <row r="18" spans="2:6" x14ac:dyDescent="0.25">
      <c r="B18" s="866"/>
      <c r="C18" s="867"/>
      <c r="D18" s="867"/>
      <c r="E18" s="868"/>
      <c r="F18" s="872">
        <f t="shared" si="0"/>
        <v>0</v>
      </c>
    </row>
    <row r="19" spans="2:6" x14ac:dyDescent="0.25">
      <c r="B19" s="866"/>
      <c r="C19" s="867"/>
      <c r="D19" s="867"/>
      <c r="E19" s="868"/>
      <c r="F19" s="872">
        <f t="shared" si="0"/>
        <v>0</v>
      </c>
    </row>
    <row r="20" spans="2:6" x14ac:dyDescent="0.25">
      <c r="B20" s="866"/>
      <c r="C20" s="867"/>
      <c r="D20" s="867"/>
      <c r="E20" s="868"/>
      <c r="F20" s="872">
        <f t="shared" si="0"/>
        <v>0</v>
      </c>
    </row>
    <row r="21" spans="2:6" x14ac:dyDescent="0.25">
      <c r="B21" s="866"/>
      <c r="C21" s="867"/>
      <c r="D21" s="867"/>
      <c r="E21" s="868"/>
      <c r="F21" s="872">
        <f t="shared" si="0"/>
        <v>0</v>
      </c>
    </row>
    <row r="22" spans="2:6" x14ac:dyDescent="0.25">
      <c r="B22" s="866"/>
      <c r="C22" s="867"/>
      <c r="D22" s="867"/>
      <c r="E22" s="868"/>
      <c r="F22" s="872">
        <f t="shared" si="0"/>
        <v>0</v>
      </c>
    </row>
    <row r="23" spans="2:6" ht="13.8" thickBot="1" x14ac:dyDescent="0.3">
      <c r="B23" s="869"/>
      <c r="C23" s="870"/>
      <c r="D23" s="870"/>
      <c r="E23" s="871"/>
      <c r="F23" s="873">
        <f t="shared" si="0"/>
        <v>0</v>
      </c>
    </row>
  </sheetData>
  <sheetProtection algorithmName="SHA-512" hashValue="Zx76x7L7BTsaFy4TluAZti4P1n3Y9BXRrrIDHGrdJuRIuWVfNABv80sYtW3dp2OAgst/UAl4VpFgg0RR0hKNSA==" saltValue="bbIwv0XHm1lzUov/OXDlrg==" spinCount="100000" sheet="1" objects="1" scenarios="1"/>
  <dataValidations count="1">
    <dataValidation type="decimal" errorStyle="information" operator="greaterThan" allowBlank="1" showInputMessage="1" showErrorMessage="1" errorTitle="Incorrect Value" error="Value must be greater than zero." sqref="B8:E23" xr:uid="{779C56F9-4554-4163-A374-79E80EC0445F}">
      <formula1>0</formula1>
    </dataValidation>
  </dataValidations>
  <pageMargins left="0.75" right="0.75" top="1" bottom="1" header="0.5" footer="0.5"/>
  <pageSetup orientation="portrait"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C6B9"/>
  </sheetPr>
  <dimension ref="B2:I21"/>
  <sheetViews>
    <sheetView showGridLines="0" zoomScaleNormal="100" workbookViewId="0"/>
  </sheetViews>
  <sheetFormatPr defaultColWidth="9.109375" defaultRowHeight="13.2" x14ac:dyDescent="0.25"/>
  <cols>
    <col min="1" max="1" width="10.6640625" style="613" customWidth="1"/>
    <col min="2" max="2" width="25.6640625" style="613" customWidth="1"/>
    <col min="3" max="3" width="24.33203125" style="613" customWidth="1"/>
    <col min="4" max="4" width="18.33203125" style="613" customWidth="1"/>
    <col min="5" max="5" width="17.6640625" style="613" customWidth="1"/>
    <col min="6" max="6" width="16.6640625" style="613" customWidth="1"/>
    <col min="7" max="7" width="15" style="613" customWidth="1"/>
    <col min="8" max="8" width="27.6640625" style="613" customWidth="1"/>
    <col min="9" max="9" width="28.88671875" style="613" customWidth="1"/>
    <col min="10" max="16384" width="9.109375" style="613"/>
  </cols>
  <sheetData>
    <row r="2" spans="2:9" ht="15.6" x14ac:dyDescent="0.3">
      <c r="B2" s="925" t="s">
        <v>458</v>
      </c>
    </row>
    <row r="4" spans="2:9" s="687" customFormat="1" ht="18.75" customHeight="1" x14ac:dyDescent="0.25">
      <c r="B4" s="874" t="s">
        <v>459</v>
      </c>
      <c r="C4" s="875"/>
      <c r="D4" s="875"/>
    </row>
    <row r="5" spans="2:9" ht="42" x14ac:dyDescent="0.25">
      <c r="B5" s="1257" t="s">
        <v>460</v>
      </c>
      <c r="C5" s="876" t="s">
        <v>461</v>
      </c>
      <c r="D5" s="877">
        <v>27.9</v>
      </c>
    </row>
    <row r="6" spans="2:9" ht="37.5" customHeight="1" x14ac:dyDescent="0.25">
      <c r="B6" s="1258"/>
      <c r="C6" s="876" t="s">
        <v>462</v>
      </c>
      <c r="D6" s="877">
        <v>29.8</v>
      </c>
    </row>
    <row r="7" spans="2:9" ht="21" customHeight="1" x14ac:dyDescent="0.25">
      <c r="B7" s="1258"/>
      <c r="C7" s="878" t="s">
        <v>463</v>
      </c>
      <c r="D7" s="877">
        <v>273</v>
      </c>
    </row>
    <row r="8" spans="2:9" x14ac:dyDescent="0.25">
      <c r="C8" s="879"/>
    </row>
    <row r="9" spans="2:9" ht="13.8" thickBot="1" x14ac:dyDescent="0.3"/>
    <row r="10" spans="2:9" ht="18.75" customHeight="1" thickBot="1" x14ac:dyDescent="0.3">
      <c r="B10" s="1255" t="s">
        <v>464</v>
      </c>
      <c r="C10" s="1261" t="s">
        <v>465</v>
      </c>
      <c r="D10" s="1262"/>
      <c r="E10" s="1262"/>
      <c r="F10" s="1262"/>
      <c r="G10" s="1262"/>
      <c r="H10" s="1262"/>
      <c r="I10" s="1263"/>
    </row>
    <row r="11" spans="2:9" ht="42.6" thickBot="1" x14ac:dyDescent="0.3">
      <c r="B11" s="1256"/>
      <c r="C11" s="880" t="s">
        <v>466</v>
      </c>
      <c r="D11" s="880" t="s">
        <v>467</v>
      </c>
      <c r="E11" s="881" t="s">
        <v>461</v>
      </c>
      <c r="F11" s="880" t="s">
        <v>468</v>
      </c>
      <c r="G11" s="882" t="s">
        <v>463</v>
      </c>
      <c r="H11" s="883" t="s">
        <v>469</v>
      </c>
      <c r="I11" s="884" t="s">
        <v>470</v>
      </c>
    </row>
    <row r="12" spans="2:9" x14ac:dyDescent="0.25">
      <c r="B12" s="885" t="s">
        <v>471</v>
      </c>
      <c r="C12" s="886">
        <f>'2. Stationary combustion CO2'!Q38</f>
        <v>0</v>
      </c>
      <c r="D12" s="887">
        <f>'2. Stationary combustion CO2'!Q56</f>
        <v>0</v>
      </c>
      <c r="E12" s="888">
        <f>('4.Stationary combustion CH4 N2O'!Q53/1000)*D5</f>
        <v>0</v>
      </c>
      <c r="F12" s="889"/>
      <c r="G12" s="890">
        <f>('4.Stationary combustion CH4 N2O'!R53/1000)*D7</f>
        <v>0</v>
      </c>
      <c r="H12" s="891">
        <f>C12+D12+E12+G12</f>
        <v>0</v>
      </c>
      <c r="I12" s="892">
        <f>D12</f>
        <v>0</v>
      </c>
    </row>
    <row r="13" spans="2:9" x14ac:dyDescent="0.25">
      <c r="B13" s="26" t="s">
        <v>472</v>
      </c>
      <c r="C13" s="893">
        <f>'6. Onsite coke production'!R46</f>
        <v>0</v>
      </c>
      <c r="D13" s="894"/>
      <c r="E13" s="895">
        <f>('6. Onsite coke production'!E59/1000)*D5</f>
        <v>0</v>
      </c>
      <c r="F13" s="894"/>
      <c r="G13" s="896"/>
      <c r="H13" s="897">
        <f>C13+E13</f>
        <v>0</v>
      </c>
      <c r="I13" s="898"/>
    </row>
    <row r="14" spans="2:9" x14ac:dyDescent="0.25">
      <c r="B14" s="26" t="s">
        <v>473</v>
      </c>
      <c r="C14" s="893">
        <f>'7. Offsite coke production'!M46</f>
        <v>0</v>
      </c>
      <c r="D14" s="894"/>
      <c r="E14" s="895">
        <f>('7. Offsite coke production'!E58/1000)*D5</f>
        <v>0</v>
      </c>
      <c r="F14" s="894"/>
      <c r="G14" s="896"/>
      <c r="H14" s="897">
        <f>C14+E14</f>
        <v>0</v>
      </c>
      <c r="I14" s="898"/>
    </row>
    <row r="15" spans="2:9" x14ac:dyDescent="0.25">
      <c r="B15" s="26" t="s">
        <v>474</v>
      </c>
      <c r="C15" s="893">
        <f>'8. Flaring'!K37</f>
        <v>0</v>
      </c>
      <c r="D15" s="894"/>
      <c r="E15" s="894"/>
      <c r="F15" s="895">
        <f>'8. Flaring'!L37*D6</f>
        <v>0</v>
      </c>
      <c r="G15" s="899"/>
      <c r="H15" s="897">
        <f>C15+F15</f>
        <v>0</v>
      </c>
      <c r="I15" s="900"/>
    </row>
    <row r="16" spans="2:9" x14ac:dyDescent="0.25">
      <c r="B16" s="26" t="s">
        <v>475</v>
      </c>
      <c r="C16" s="893">
        <f>'9. Sinter production'!H34</f>
        <v>0</v>
      </c>
      <c r="D16" s="894"/>
      <c r="E16" s="895">
        <f>('9. Sinter production'!E44/1000)*D5</f>
        <v>0</v>
      </c>
      <c r="F16" s="894"/>
      <c r="G16" s="896"/>
      <c r="H16" s="897">
        <f>C16+E16</f>
        <v>0</v>
      </c>
      <c r="I16" s="898"/>
    </row>
    <row r="17" spans="2:9" x14ac:dyDescent="0.25">
      <c r="B17" s="26" t="s">
        <v>476</v>
      </c>
      <c r="C17" s="893">
        <f>'10. DRI production'!I28</f>
        <v>0</v>
      </c>
      <c r="D17" s="894"/>
      <c r="E17" s="895">
        <f>('10. DRI production'!E44/1000)*D5</f>
        <v>0</v>
      </c>
      <c r="F17" s="894"/>
      <c r="G17" s="896"/>
      <c r="H17" s="897">
        <f>C17+E17</f>
        <v>0</v>
      </c>
      <c r="I17" s="898"/>
    </row>
    <row r="18" spans="2:9" x14ac:dyDescent="0.25">
      <c r="B18" s="26" t="s">
        <v>477</v>
      </c>
      <c r="C18" s="893">
        <f>'11. Iron and Steel production'!L49</f>
        <v>0</v>
      </c>
      <c r="D18" s="894"/>
      <c r="E18" s="895">
        <f>('11. Iron and Steel production'!E65/1000)*D5</f>
        <v>0</v>
      </c>
      <c r="F18" s="894"/>
      <c r="G18" s="896"/>
      <c r="H18" s="897">
        <f>C18+E18</f>
        <v>0</v>
      </c>
      <c r="I18" s="898"/>
    </row>
    <row r="19" spans="2:9" x14ac:dyDescent="0.25">
      <c r="B19" s="232" t="s">
        <v>478</v>
      </c>
      <c r="C19" s="893">
        <f>'13. Onsite lime CO2'!K32</f>
        <v>0</v>
      </c>
      <c r="D19" s="894"/>
      <c r="E19" s="901"/>
      <c r="F19" s="894"/>
      <c r="G19" s="896"/>
      <c r="H19" s="897">
        <f>C19</f>
        <v>0</v>
      </c>
      <c r="I19" s="898"/>
    </row>
    <row r="20" spans="2:9" ht="13.8" thickBot="1" x14ac:dyDescent="0.3">
      <c r="B20" s="902" t="s">
        <v>479</v>
      </c>
      <c r="C20" s="903">
        <f>'14. Offsite lime CO2'!K28</f>
        <v>0</v>
      </c>
      <c r="D20" s="904"/>
      <c r="E20" s="905"/>
      <c r="F20" s="894"/>
      <c r="G20" s="906"/>
      <c r="H20" s="907">
        <f>C20</f>
        <v>0</v>
      </c>
      <c r="I20" s="908"/>
    </row>
    <row r="21" spans="2:9" ht="13.8" thickBot="1" x14ac:dyDescent="0.3">
      <c r="B21" s="1259" t="s">
        <v>480</v>
      </c>
      <c r="C21" s="1260"/>
      <c r="D21" s="1260"/>
      <c r="E21" s="1260"/>
      <c r="F21" s="1260"/>
      <c r="G21" s="1260"/>
      <c r="H21" s="909">
        <f>SUM(H12:H20)</f>
        <v>0</v>
      </c>
      <c r="I21" s="909">
        <f>I12</f>
        <v>0</v>
      </c>
    </row>
  </sheetData>
  <sheetProtection algorithmName="SHA-512" hashValue="+OlVAASXMPtUvkj8TAhavFGyZEUCAsMDVtjRayeb/YSwqHP9xrTNjY/srF0/mxZcIMxk0OXrY86FoJRO1r90+w==" saltValue="RfhZ62wisILG4BXMomPp5g==" spinCount="100000" sheet="1" objects="1" scenarios="1"/>
  <mergeCells count="4">
    <mergeCell ref="B10:B11"/>
    <mergeCell ref="B5:B7"/>
    <mergeCell ref="B21:G21"/>
    <mergeCell ref="C10:I10"/>
  </mergeCells>
  <phoneticPr fontId="7"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08410-DDB3-4B50-90FC-3058290B1D98}">
  <sheetPr>
    <tabColor rgb="FF00C6B9"/>
  </sheetPr>
  <dimension ref="B2:J86"/>
  <sheetViews>
    <sheetView showGridLines="0" zoomScaleNormal="100" workbookViewId="0"/>
  </sheetViews>
  <sheetFormatPr defaultColWidth="10.109375" defaultRowHeight="13.2" x14ac:dyDescent="0.25"/>
  <cols>
    <col min="1" max="1" width="8" style="434" customWidth="1"/>
    <col min="2" max="2" width="13" style="434" customWidth="1"/>
    <col min="3" max="3" width="19.6640625" style="434" customWidth="1"/>
    <col min="4" max="4" width="12.44140625" style="434" bestFit="1" customWidth="1"/>
    <col min="5" max="5" width="13.33203125" style="434" customWidth="1"/>
    <col min="6" max="6" width="20.33203125" style="434" bestFit="1" customWidth="1"/>
    <col min="7" max="7" width="9.88671875" style="434" bestFit="1" customWidth="1"/>
    <col min="8" max="8" width="13.44140625" style="434" bestFit="1" customWidth="1"/>
    <col min="9" max="9" width="15.44140625" style="434" bestFit="1" customWidth="1"/>
    <col min="10" max="10" width="12.6640625" style="434" bestFit="1" customWidth="1"/>
    <col min="11" max="16384" width="10.109375" style="434"/>
  </cols>
  <sheetData>
    <row r="2" spans="2:10" ht="81" customHeight="1" x14ac:dyDescent="0.25">
      <c r="B2" s="1267" t="s">
        <v>481</v>
      </c>
      <c r="C2" s="1267"/>
      <c r="D2" s="1267"/>
      <c r="E2" s="1267"/>
      <c r="F2" s="1267"/>
      <c r="G2" s="1267"/>
      <c r="H2" s="1267"/>
      <c r="I2" s="1267"/>
    </row>
    <row r="3" spans="2:10" ht="13.8" thickBot="1" x14ac:dyDescent="0.3">
      <c r="B3" s="538"/>
      <c r="C3" s="538"/>
      <c r="D3" s="538"/>
      <c r="E3" s="538"/>
      <c r="F3" s="538"/>
      <c r="G3" s="538"/>
      <c r="H3" s="538"/>
      <c r="I3" s="538"/>
    </row>
    <row r="4" spans="2:10" ht="16.2" thickBot="1" x14ac:dyDescent="0.35">
      <c r="B4" s="1268" t="s">
        <v>482</v>
      </c>
      <c r="C4" s="1269"/>
      <c r="D4" s="1269"/>
      <c r="E4" s="1269"/>
      <c r="F4" s="1269"/>
      <c r="G4" s="1269"/>
      <c r="H4" s="1270"/>
    </row>
    <row r="5" spans="2:10" ht="13.8" thickBot="1" x14ac:dyDescent="0.3">
      <c r="B5" s="537" t="s">
        <v>483</v>
      </c>
      <c r="C5" s="536" t="s">
        <v>66</v>
      </c>
      <c r="D5" s="512" t="s">
        <v>484</v>
      </c>
      <c r="E5" s="512" t="s">
        <v>485</v>
      </c>
      <c r="F5" s="512" t="s">
        <v>486</v>
      </c>
      <c r="G5" s="512" t="s">
        <v>487</v>
      </c>
      <c r="H5" s="535" t="s">
        <v>488</v>
      </c>
    </row>
    <row r="6" spans="2:10" ht="12" customHeight="1" x14ac:dyDescent="0.25">
      <c r="B6" s="534" t="s">
        <v>66</v>
      </c>
      <c r="C6" s="533"/>
      <c r="D6" s="532">
        <v>277.77777777799997</v>
      </c>
      <c r="E6" s="532">
        <f>D6*E7</f>
        <v>0.277777777778</v>
      </c>
      <c r="F6" s="522">
        <f>D6*F7</f>
        <v>2.7777777777799998E-4</v>
      </c>
      <c r="G6" s="525">
        <v>947817.12031000003</v>
      </c>
      <c r="H6" s="527">
        <v>9.4781698790999993</v>
      </c>
    </row>
    <row r="7" spans="2:10" x14ac:dyDescent="0.25">
      <c r="B7" s="510" t="s">
        <v>484</v>
      </c>
      <c r="C7" s="531">
        <v>3.5999999999971203E-3</v>
      </c>
      <c r="D7" s="521"/>
      <c r="E7" s="528">
        <v>1E-3</v>
      </c>
      <c r="F7" s="522">
        <v>9.9999999999999995E-7</v>
      </c>
      <c r="G7" s="525">
        <v>3412.1415999999999</v>
      </c>
      <c r="H7" s="530">
        <v>3.4121411599999998E-2</v>
      </c>
    </row>
    <row r="8" spans="2:10" x14ac:dyDescent="0.25">
      <c r="B8" s="510" t="s">
        <v>485</v>
      </c>
      <c r="C8" s="529">
        <f>C7/E7</f>
        <v>3.5999999999971202</v>
      </c>
      <c r="D8" s="525">
        <v>1000</v>
      </c>
      <c r="E8" s="521"/>
      <c r="F8" s="528">
        <f>F7/E7</f>
        <v>1E-3</v>
      </c>
      <c r="G8" s="522">
        <f>G7/E7</f>
        <v>3412141.5999999996</v>
      </c>
      <c r="H8" s="527">
        <v>34.121411565000002</v>
      </c>
    </row>
    <row r="9" spans="2:10" x14ac:dyDescent="0.25">
      <c r="B9" s="510" t="s">
        <v>486</v>
      </c>
      <c r="C9" s="526">
        <f>C7/F7</f>
        <v>3599.9999999971205</v>
      </c>
      <c r="D9" s="522">
        <v>1000000</v>
      </c>
      <c r="E9" s="525">
        <f>E7/F7</f>
        <v>1000.0000000000001</v>
      </c>
      <c r="F9" s="521"/>
      <c r="G9" s="522">
        <f>G7/F7</f>
        <v>3412141600</v>
      </c>
      <c r="H9" s="524">
        <v>34121.411565000002</v>
      </c>
    </row>
    <row r="10" spans="2:10" x14ac:dyDescent="0.25">
      <c r="B10" s="510" t="s">
        <v>487</v>
      </c>
      <c r="C10" s="523">
        <v>1.0551000000000001E-6</v>
      </c>
      <c r="D10" s="522">
        <v>2.9307109999999998E-4</v>
      </c>
      <c r="E10" s="522">
        <f>D10*E7</f>
        <v>2.9307109999999998E-7</v>
      </c>
      <c r="F10" s="522">
        <f>D10*F7</f>
        <v>2.9307109999999999E-10</v>
      </c>
      <c r="G10" s="521"/>
      <c r="H10" s="520">
        <v>1.0000000000000001E-5</v>
      </c>
      <c r="J10" s="519"/>
    </row>
    <row r="11" spans="2:10" ht="13.8" thickBot="1" x14ac:dyDescent="0.3">
      <c r="B11" s="518" t="s">
        <v>488</v>
      </c>
      <c r="C11" s="517">
        <v>0.1055056</v>
      </c>
      <c r="D11" s="516">
        <v>29.307111111000001</v>
      </c>
      <c r="E11" s="516">
        <v>2.9307111100000002E-2</v>
      </c>
      <c r="F11" s="515">
        <v>2.9307099999999999E-5</v>
      </c>
      <c r="G11" s="514">
        <v>100000.01397</v>
      </c>
      <c r="H11" s="513"/>
    </row>
    <row r="13" spans="2:10" ht="13.8" thickBot="1" x14ac:dyDescent="0.3"/>
    <row r="14" spans="2:10" ht="16.2" thickBot="1" x14ac:dyDescent="0.35">
      <c r="B14" s="1271" t="s">
        <v>489</v>
      </c>
      <c r="C14" s="1272"/>
      <c r="D14" s="1272"/>
      <c r="E14" s="1272"/>
      <c r="F14" s="1272"/>
      <c r="G14" s="1272"/>
      <c r="H14" s="1273"/>
    </row>
    <row r="15" spans="2:10" ht="14.4" thickBot="1" x14ac:dyDescent="0.3">
      <c r="B15" s="490" t="s">
        <v>483</v>
      </c>
      <c r="C15" s="489" t="s">
        <v>29</v>
      </c>
      <c r="D15" s="488" t="s">
        <v>490</v>
      </c>
      <c r="E15" s="488" t="s">
        <v>491</v>
      </c>
      <c r="F15" s="512" t="s">
        <v>492</v>
      </c>
      <c r="G15" s="488" t="s">
        <v>493</v>
      </c>
      <c r="H15" s="487" t="s">
        <v>494</v>
      </c>
    </row>
    <row r="16" spans="2:10" ht="16.5" customHeight="1" x14ac:dyDescent="0.25">
      <c r="B16" s="476" t="s">
        <v>29</v>
      </c>
      <c r="C16" s="511"/>
      <c r="D16" s="472">
        <v>1E-3</v>
      </c>
      <c r="E16" s="472">
        <v>3.5314667000000001E-2</v>
      </c>
      <c r="F16" s="472">
        <v>0.21996924800000001</v>
      </c>
      <c r="G16" s="472">
        <v>0.26417205100000002</v>
      </c>
      <c r="H16" s="470">
        <v>6.2898110000000002E-3</v>
      </c>
    </row>
    <row r="17" spans="2:8" ht="13.8" x14ac:dyDescent="0.25">
      <c r="B17" s="476" t="s">
        <v>490</v>
      </c>
      <c r="C17" s="475">
        <v>1000</v>
      </c>
      <c r="D17" s="471"/>
      <c r="E17" s="472">
        <v>35.314667</v>
      </c>
      <c r="F17" s="472">
        <v>219.96924799999999</v>
      </c>
      <c r="G17" s="472">
        <v>264.17205100000001</v>
      </c>
      <c r="H17" s="470">
        <v>6.2898110000000003</v>
      </c>
    </row>
    <row r="18" spans="2:8" x14ac:dyDescent="0.25">
      <c r="B18" s="476" t="s">
        <v>491</v>
      </c>
      <c r="C18" s="509">
        <v>28.316846368677353</v>
      </c>
      <c r="D18" s="472">
        <v>2.8316846368677356E-2</v>
      </c>
      <c r="E18" s="471"/>
      <c r="F18" s="472">
        <v>6.228835401449488</v>
      </c>
      <c r="G18" s="472">
        <v>7.4805193830653991</v>
      </c>
      <c r="H18" s="470">
        <v>0.17810761177501688</v>
      </c>
    </row>
    <row r="19" spans="2:8" x14ac:dyDescent="0.25">
      <c r="B19" s="510" t="s">
        <v>492</v>
      </c>
      <c r="C19" s="509">
        <v>4.5460900061812275</v>
      </c>
      <c r="D19" s="472">
        <v>4.5460900061812274E-3</v>
      </c>
      <c r="E19" s="472">
        <v>0.16054365472031801</v>
      </c>
      <c r="F19" s="471"/>
      <c r="G19" s="472">
        <v>1.2009499209634977</v>
      </c>
      <c r="H19" s="470">
        <v>2.8594046927868752E-2</v>
      </c>
    </row>
    <row r="20" spans="2:8" x14ac:dyDescent="0.25">
      <c r="B20" s="476" t="s">
        <v>493</v>
      </c>
      <c r="C20" s="509">
        <v>3.7854118034613733</v>
      </c>
      <c r="D20" s="472">
        <v>3.7854118034613732E-3</v>
      </c>
      <c r="E20" s="472">
        <v>0.13368055729710784</v>
      </c>
      <c r="F20" s="472">
        <v>0.83267418777772206</v>
      </c>
      <c r="G20" s="471"/>
      <c r="H20" s="470">
        <v>2.3809524800941183E-2</v>
      </c>
    </row>
    <row r="21" spans="2:8" ht="13.8" thickBot="1" x14ac:dyDescent="0.3">
      <c r="B21" s="469" t="s">
        <v>494</v>
      </c>
      <c r="C21" s="508">
        <v>158.98728912522174</v>
      </c>
      <c r="D21" s="465">
        <v>0.15898728912522173</v>
      </c>
      <c r="E21" s="465">
        <v>5.6145831726899269</v>
      </c>
      <c r="F21" s="465">
        <v>34.972314430433606</v>
      </c>
      <c r="G21" s="507">
        <v>41.999998251139822</v>
      </c>
      <c r="H21" s="464"/>
    </row>
    <row r="23" spans="2:8" ht="13.8" thickBot="1" x14ac:dyDescent="0.3"/>
    <row r="24" spans="2:8" ht="16.2" thickBot="1" x14ac:dyDescent="0.35">
      <c r="B24" s="1271" t="s">
        <v>495</v>
      </c>
      <c r="C24" s="1272"/>
      <c r="D24" s="1272"/>
      <c r="E24" s="1272"/>
      <c r="F24" s="1272"/>
      <c r="G24" s="1272"/>
      <c r="H24" s="1273"/>
    </row>
    <row r="25" spans="2:8" ht="13.8" thickBot="1" x14ac:dyDescent="0.3">
      <c r="B25" s="490" t="s">
        <v>483</v>
      </c>
      <c r="C25" s="489" t="s">
        <v>496</v>
      </c>
      <c r="D25" s="488" t="s">
        <v>63</v>
      </c>
      <c r="E25" s="488" t="s">
        <v>497</v>
      </c>
      <c r="F25" s="488" t="s">
        <v>498</v>
      </c>
      <c r="G25" s="488" t="s">
        <v>499</v>
      </c>
      <c r="H25" s="487" t="s">
        <v>500</v>
      </c>
    </row>
    <row r="26" spans="2:8" x14ac:dyDescent="0.25">
      <c r="B26" s="476" t="s">
        <v>496</v>
      </c>
      <c r="C26" s="506"/>
      <c r="D26" s="505">
        <v>1E-3</v>
      </c>
      <c r="E26" s="503">
        <v>9.9999999999999995E-7</v>
      </c>
      <c r="F26" s="503">
        <f>F27/C27</f>
        <v>9.8420700000000002E-7</v>
      </c>
      <c r="G26" s="503">
        <f>G27/C27</f>
        <v>1.1023109999999999E-6</v>
      </c>
      <c r="H26" s="502">
        <f>H27/C27</f>
        <v>2.2046236800000001E-3</v>
      </c>
    </row>
    <row r="27" spans="2:8" ht="12" customHeight="1" x14ac:dyDescent="0.25">
      <c r="B27" s="476" t="s">
        <v>63</v>
      </c>
      <c r="C27" s="504">
        <f>1/D26</f>
        <v>1000</v>
      </c>
      <c r="D27" s="496"/>
      <c r="E27" s="497">
        <v>1E-3</v>
      </c>
      <c r="F27" s="503">
        <v>9.8420699999999996E-4</v>
      </c>
      <c r="G27" s="497">
        <v>1.1023109999999999E-3</v>
      </c>
      <c r="H27" s="502">
        <v>2.2046236800000001</v>
      </c>
    </row>
    <row r="28" spans="2:8" x14ac:dyDescent="0.25">
      <c r="B28" s="476" t="s">
        <v>497</v>
      </c>
      <c r="C28" s="501">
        <f>1/E26</f>
        <v>1000000</v>
      </c>
      <c r="D28" s="499">
        <v>1000</v>
      </c>
      <c r="E28" s="496"/>
      <c r="F28" s="497">
        <v>0.98420699999999994</v>
      </c>
      <c r="G28" s="497">
        <v>1.1023109999999998</v>
      </c>
      <c r="H28" s="495">
        <v>2204.6236800000001</v>
      </c>
    </row>
    <row r="29" spans="2:8" x14ac:dyDescent="0.25">
      <c r="B29" s="476" t="s">
        <v>498</v>
      </c>
      <c r="C29" s="500">
        <v>1016046.08</v>
      </c>
      <c r="D29" s="499">
        <v>1016.0464211288886</v>
      </c>
      <c r="E29" s="497">
        <v>1.0160464211288887</v>
      </c>
      <c r="F29" s="496"/>
      <c r="G29" s="497">
        <v>1.1199991465210062</v>
      </c>
      <c r="H29" s="495">
        <v>2240</v>
      </c>
    </row>
    <row r="30" spans="2:8" x14ac:dyDescent="0.25">
      <c r="B30" s="476" t="s">
        <v>499</v>
      </c>
      <c r="C30" s="498">
        <v>907184</v>
      </c>
      <c r="D30" s="497">
        <v>907.18499588591612</v>
      </c>
      <c r="E30" s="497">
        <v>0.90718499588591617</v>
      </c>
      <c r="F30" s="497">
        <v>0.8928578232458898</v>
      </c>
      <c r="G30" s="496"/>
      <c r="H30" s="495">
        <v>2000.0015240707933</v>
      </c>
    </row>
    <row r="31" spans="2:8" ht="13.8" thickBot="1" x14ac:dyDescent="0.3">
      <c r="B31" s="469" t="s">
        <v>500</v>
      </c>
      <c r="C31" s="494">
        <v>453.59199999999998</v>
      </c>
      <c r="D31" s="493">
        <v>0.45359215228968236</v>
      </c>
      <c r="E31" s="492">
        <v>4.5359215228968239E-4</v>
      </c>
      <c r="F31" s="492">
        <v>4.4642857142857141E-4</v>
      </c>
      <c r="G31" s="492">
        <v>4.9999961898259206E-4</v>
      </c>
      <c r="H31" s="491"/>
    </row>
    <row r="33" spans="2:10" ht="13.8" thickBot="1" x14ac:dyDescent="0.3"/>
    <row r="34" spans="2:10" ht="16.2" thickBot="1" x14ac:dyDescent="0.35">
      <c r="B34" s="1271" t="s">
        <v>501</v>
      </c>
      <c r="C34" s="1272"/>
      <c r="D34" s="1272"/>
      <c r="E34" s="1272"/>
      <c r="F34" s="1272"/>
      <c r="G34" s="1272"/>
      <c r="H34" s="1272"/>
      <c r="I34" s="1272"/>
      <c r="J34" s="1273"/>
    </row>
    <row r="35" spans="2:10" ht="13.8" thickBot="1" x14ac:dyDescent="0.3">
      <c r="B35" s="490" t="s">
        <v>483</v>
      </c>
      <c r="C35" s="489" t="s">
        <v>502</v>
      </c>
      <c r="D35" s="488" t="s">
        <v>503</v>
      </c>
      <c r="E35" s="488" t="s">
        <v>504</v>
      </c>
      <c r="F35" s="488" t="s">
        <v>505</v>
      </c>
      <c r="G35" s="488" t="s">
        <v>506</v>
      </c>
      <c r="H35" s="488" t="s">
        <v>507</v>
      </c>
      <c r="I35" s="488" t="s">
        <v>508</v>
      </c>
      <c r="J35" s="487" t="s">
        <v>509</v>
      </c>
    </row>
    <row r="36" spans="2:10" ht="12" customHeight="1" x14ac:dyDescent="0.25">
      <c r="B36" s="476" t="s">
        <v>502</v>
      </c>
      <c r="C36" s="486"/>
      <c r="D36" s="472">
        <v>3.2808398950000002</v>
      </c>
      <c r="E36" s="480">
        <v>39.370078739999997</v>
      </c>
      <c r="F36" s="481">
        <v>100</v>
      </c>
      <c r="G36" s="480">
        <v>1.093613298</v>
      </c>
      <c r="H36" s="478">
        <v>6.2137119223733392E-4</v>
      </c>
      <c r="I36" s="485">
        <v>1E-3</v>
      </c>
      <c r="J36" s="477">
        <v>5.3995680351745805E-4</v>
      </c>
    </row>
    <row r="37" spans="2:10" x14ac:dyDescent="0.25">
      <c r="B37" s="476" t="s">
        <v>503</v>
      </c>
      <c r="C37" s="483">
        <v>0.30480000000121921</v>
      </c>
      <c r="D37" s="471"/>
      <c r="E37" s="481">
        <v>12</v>
      </c>
      <c r="F37" s="480">
        <v>30.480000000121919</v>
      </c>
      <c r="G37" s="480">
        <v>0.33333333323173331</v>
      </c>
      <c r="H37" s="478">
        <v>1.8939393939469695E-4</v>
      </c>
      <c r="I37" s="478">
        <v>3.0480000000121922E-4</v>
      </c>
      <c r="J37" s="477">
        <v>1.6457883371277953E-4</v>
      </c>
    </row>
    <row r="38" spans="2:10" x14ac:dyDescent="0.25">
      <c r="B38" s="476" t="s">
        <v>504</v>
      </c>
      <c r="C38" s="483">
        <v>2.5400000000101602E-2</v>
      </c>
      <c r="D38" s="484">
        <v>8.3333333333333343E-2</v>
      </c>
      <c r="E38" s="479"/>
      <c r="F38" s="480">
        <v>2.5400000000101604</v>
      </c>
      <c r="G38" s="480">
        <v>2.7777777769311111E-2</v>
      </c>
      <c r="H38" s="478">
        <f>1/E41</f>
        <v>1.5782828282828283E-5</v>
      </c>
      <c r="I38" s="478">
        <f>1/E42</f>
        <v>2.54000508001016E-5</v>
      </c>
      <c r="J38" s="477">
        <f>1/E43</f>
        <v>1.3714902809398293E-5</v>
      </c>
    </row>
    <row r="39" spans="2:10" x14ac:dyDescent="0.25">
      <c r="B39" s="476" t="s">
        <v>505</v>
      </c>
      <c r="C39" s="483">
        <v>0.01</v>
      </c>
      <c r="D39" s="484">
        <v>3.2808398950000005E-2</v>
      </c>
      <c r="E39" s="480">
        <v>0.39370078739999997</v>
      </c>
      <c r="F39" s="479"/>
      <c r="G39" s="480">
        <v>1.0936132979999999E-2</v>
      </c>
      <c r="H39" s="478">
        <f>1/F41</f>
        <v>6.2137119223733384E-6</v>
      </c>
      <c r="I39" s="478">
        <f>1/F42</f>
        <v>1.0000000000000001E-5</v>
      </c>
      <c r="J39" s="477">
        <f>1/F43</f>
        <v>5.3995680351745796E-6</v>
      </c>
    </row>
    <row r="40" spans="2:10" x14ac:dyDescent="0.25">
      <c r="B40" s="476" t="s">
        <v>506</v>
      </c>
      <c r="C40" s="483">
        <v>0.91440000028236679</v>
      </c>
      <c r="D40" s="482">
        <v>3</v>
      </c>
      <c r="E40" s="481">
        <v>36.000000010972798</v>
      </c>
      <c r="F40" s="480">
        <v>91.440000028236682</v>
      </c>
      <c r="G40" s="479"/>
      <c r="H40" s="472">
        <f>1/G41</f>
        <v>5.6818181835727264E-4</v>
      </c>
      <c r="I40" s="478">
        <f>1/G42</f>
        <v>9.1440000028236669E-4</v>
      </c>
      <c r="J40" s="477">
        <f>1/G43</f>
        <v>4.9373650128882939E-4</v>
      </c>
    </row>
    <row r="41" spans="2:10" x14ac:dyDescent="0.25">
      <c r="B41" s="476" t="s">
        <v>507</v>
      </c>
      <c r="C41" s="475">
        <v>1609.3440000000001</v>
      </c>
      <c r="D41" s="474">
        <v>5279.9999999788806</v>
      </c>
      <c r="E41" s="473">
        <v>63360</v>
      </c>
      <c r="F41" s="473">
        <f>D41*F37</f>
        <v>160934.40000000002</v>
      </c>
      <c r="G41" s="473">
        <f>D41*G37</f>
        <v>1759.9999994565121</v>
      </c>
      <c r="H41" s="471"/>
      <c r="I41" s="472">
        <v>1.6093440000000001</v>
      </c>
      <c r="J41" s="470">
        <v>0.86897624200000001</v>
      </c>
    </row>
    <row r="42" spans="2:10" x14ac:dyDescent="0.25">
      <c r="B42" s="476" t="s">
        <v>508</v>
      </c>
      <c r="C42" s="475">
        <v>1000</v>
      </c>
      <c r="D42" s="474">
        <v>3280.8398950000001</v>
      </c>
      <c r="E42" s="473">
        <v>39370</v>
      </c>
      <c r="F42" s="473">
        <f>D42*F37</f>
        <v>100000</v>
      </c>
      <c r="G42" s="473">
        <f>D42*G37</f>
        <v>1093.613298</v>
      </c>
      <c r="H42" s="472">
        <v>0.62137119223733395</v>
      </c>
      <c r="I42" s="471"/>
      <c r="J42" s="470">
        <v>0.53995680351745801</v>
      </c>
    </row>
    <row r="43" spans="2:10" ht="13.8" thickBot="1" x14ac:dyDescent="0.3">
      <c r="B43" s="469" t="s">
        <v>509</v>
      </c>
      <c r="C43" s="468">
        <v>1851.9999997882601</v>
      </c>
      <c r="D43" s="467">
        <v>6076.1154848453043</v>
      </c>
      <c r="E43" s="466">
        <f>D43*E37</f>
        <v>72913.385818143652</v>
      </c>
      <c r="F43" s="466">
        <f>D43*F37</f>
        <v>185199.99997882568</v>
      </c>
      <c r="G43" s="466">
        <f>D43*G37</f>
        <v>2025.3718276644347</v>
      </c>
      <c r="H43" s="465">
        <v>1.1507794478919713</v>
      </c>
      <c r="I43" s="465">
        <v>1.8519999997882568</v>
      </c>
      <c r="J43" s="464"/>
    </row>
    <row r="45" spans="2:10" ht="13.8" thickBot="1" x14ac:dyDescent="0.3"/>
    <row r="46" spans="2:10" ht="16.2" thickBot="1" x14ac:dyDescent="0.35">
      <c r="B46" s="1264" t="s">
        <v>510</v>
      </c>
      <c r="C46" s="1265"/>
      <c r="E46" s="1264" t="s">
        <v>511</v>
      </c>
      <c r="F46" s="1266"/>
      <c r="G46" s="1266"/>
      <c r="H46" s="1265"/>
    </row>
    <row r="47" spans="2:10" ht="13.8" thickBot="1" x14ac:dyDescent="0.3">
      <c r="B47" s="463" t="s">
        <v>512</v>
      </c>
      <c r="C47" s="462" t="s">
        <v>513</v>
      </c>
      <c r="E47" s="461" t="s">
        <v>512</v>
      </c>
      <c r="F47" s="460" t="s">
        <v>514</v>
      </c>
      <c r="G47" s="460" t="s">
        <v>515</v>
      </c>
      <c r="H47" s="459" t="s">
        <v>516</v>
      </c>
    </row>
    <row r="48" spans="2:10" ht="13.8" x14ac:dyDescent="0.25">
      <c r="B48" s="439" t="s">
        <v>494</v>
      </c>
      <c r="C48" s="438" t="s">
        <v>517</v>
      </c>
      <c r="E48" s="458" t="s">
        <v>518</v>
      </c>
      <c r="F48" s="457">
        <v>1000000000000</v>
      </c>
      <c r="G48" s="456" t="s">
        <v>519</v>
      </c>
      <c r="H48" s="455" t="s">
        <v>520</v>
      </c>
    </row>
    <row r="49" spans="2:8" ht="13.8" x14ac:dyDescent="0.25">
      <c r="B49" s="439" t="s">
        <v>487</v>
      </c>
      <c r="C49" s="438" t="s">
        <v>521</v>
      </c>
      <c r="E49" s="439" t="s">
        <v>522</v>
      </c>
      <c r="F49" s="454">
        <v>1000000000</v>
      </c>
      <c r="G49" s="447" t="s">
        <v>523</v>
      </c>
      <c r="H49" s="446" t="s">
        <v>24</v>
      </c>
    </row>
    <row r="50" spans="2:8" ht="13.8" x14ac:dyDescent="0.25">
      <c r="B50" s="441" t="s">
        <v>524</v>
      </c>
      <c r="C50" s="438" t="s">
        <v>525</v>
      </c>
      <c r="E50" s="439" t="s">
        <v>526</v>
      </c>
      <c r="F50" s="454">
        <v>1000000</v>
      </c>
      <c r="G50" s="447" t="s">
        <v>527</v>
      </c>
      <c r="H50" s="446" t="s">
        <v>30</v>
      </c>
    </row>
    <row r="51" spans="2:8" ht="13.8" x14ac:dyDescent="0.25">
      <c r="B51" s="439" t="s">
        <v>505</v>
      </c>
      <c r="C51" s="438" t="s">
        <v>528</v>
      </c>
      <c r="E51" s="439" t="s">
        <v>529</v>
      </c>
      <c r="F51" s="454">
        <v>1000</v>
      </c>
      <c r="G51" s="447" t="s">
        <v>530</v>
      </c>
      <c r="H51" s="446" t="s">
        <v>531</v>
      </c>
    </row>
    <row r="52" spans="2:8" ht="13.8" x14ac:dyDescent="0.25">
      <c r="B52" s="439" t="s">
        <v>491</v>
      </c>
      <c r="C52" s="438" t="s">
        <v>532</v>
      </c>
      <c r="E52" s="439" t="s">
        <v>533</v>
      </c>
      <c r="F52" s="454">
        <v>100</v>
      </c>
      <c r="G52" s="447" t="s">
        <v>534</v>
      </c>
      <c r="H52" s="446" t="s">
        <v>535</v>
      </c>
    </row>
    <row r="53" spans="2:8" ht="13.8" x14ac:dyDescent="0.25">
      <c r="B53" s="441" t="s">
        <v>536</v>
      </c>
      <c r="C53" s="438" t="s">
        <v>537</v>
      </c>
      <c r="E53" s="439" t="s">
        <v>538</v>
      </c>
      <c r="F53" s="454">
        <v>10</v>
      </c>
      <c r="G53" s="447" t="s">
        <v>539</v>
      </c>
      <c r="H53" s="446" t="s">
        <v>540</v>
      </c>
    </row>
    <row r="54" spans="2:8" ht="13.8" x14ac:dyDescent="0.25">
      <c r="B54" s="439" t="s">
        <v>503</v>
      </c>
      <c r="C54" s="438" t="s">
        <v>541</v>
      </c>
      <c r="E54" s="439" t="s">
        <v>542</v>
      </c>
      <c r="F54" s="453">
        <v>0.1</v>
      </c>
      <c r="G54" s="447" t="s">
        <v>543</v>
      </c>
      <c r="H54" s="446" t="s">
        <v>544</v>
      </c>
    </row>
    <row r="55" spans="2:8" ht="13.8" x14ac:dyDescent="0.25">
      <c r="B55" s="439" t="s">
        <v>496</v>
      </c>
      <c r="C55" s="438" t="s">
        <v>545</v>
      </c>
      <c r="E55" s="439" t="s">
        <v>546</v>
      </c>
      <c r="F55" s="452">
        <v>0.01</v>
      </c>
      <c r="G55" s="447" t="s">
        <v>547</v>
      </c>
      <c r="H55" s="446" t="s">
        <v>548</v>
      </c>
    </row>
    <row r="56" spans="2:8" ht="13.8" x14ac:dyDescent="0.25">
      <c r="B56" s="439" t="s">
        <v>549</v>
      </c>
      <c r="C56" s="438" t="s">
        <v>550</v>
      </c>
      <c r="E56" s="439" t="s">
        <v>551</v>
      </c>
      <c r="F56" s="451">
        <v>1E-3</v>
      </c>
      <c r="G56" s="447" t="s">
        <v>552</v>
      </c>
      <c r="H56" s="446" t="s">
        <v>502</v>
      </c>
    </row>
    <row r="57" spans="2:8" ht="13.8" x14ac:dyDescent="0.25">
      <c r="B57" s="439" t="s">
        <v>66</v>
      </c>
      <c r="C57" s="438" t="s">
        <v>553</v>
      </c>
      <c r="E57" s="439" t="s">
        <v>554</v>
      </c>
      <c r="F57" s="450">
        <v>9.9999999999999995E-7</v>
      </c>
      <c r="G57" s="447" t="s">
        <v>555</v>
      </c>
      <c r="H57" s="449" t="s">
        <v>502</v>
      </c>
    </row>
    <row r="58" spans="2:8" ht="13.8" x14ac:dyDescent="0.25">
      <c r="B58" s="439" t="s">
        <v>486</v>
      </c>
      <c r="C58" s="438" t="s">
        <v>556</v>
      </c>
      <c r="E58" s="439" t="s">
        <v>557</v>
      </c>
      <c r="F58" s="448">
        <v>1.0000000000000001E-9</v>
      </c>
      <c r="G58" s="447" t="s">
        <v>558</v>
      </c>
      <c r="H58" s="446" t="s">
        <v>559</v>
      </c>
    </row>
    <row r="59" spans="2:8" ht="14.4" thickBot="1" x14ac:dyDescent="0.3">
      <c r="B59" s="439" t="s">
        <v>560</v>
      </c>
      <c r="C59" s="438" t="s">
        <v>561</v>
      </c>
      <c r="E59" s="437" t="s">
        <v>562</v>
      </c>
      <c r="F59" s="445">
        <v>9.9999999999999998E-13</v>
      </c>
      <c r="G59" s="444" t="s">
        <v>563</v>
      </c>
      <c r="H59" s="443" t="s">
        <v>564</v>
      </c>
    </row>
    <row r="60" spans="2:8" x14ac:dyDescent="0.25">
      <c r="B60" s="439" t="s">
        <v>565</v>
      </c>
      <c r="C60" s="442" t="s">
        <v>566</v>
      </c>
    </row>
    <row r="61" spans="2:8" x14ac:dyDescent="0.25">
      <c r="B61" s="441" t="s">
        <v>567</v>
      </c>
      <c r="C61" s="442" t="s">
        <v>568</v>
      </c>
    </row>
    <row r="62" spans="2:8" x14ac:dyDescent="0.25">
      <c r="B62" s="439" t="s">
        <v>504</v>
      </c>
      <c r="C62" s="438" t="s">
        <v>569</v>
      </c>
    </row>
    <row r="63" spans="2:8" x14ac:dyDescent="0.25">
      <c r="B63" s="439" t="s">
        <v>63</v>
      </c>
      <c r="C63" s="438" t="s">
        <v>570</v>
      </c>
    </row>
    <row r="64" spans="2:8" x14ac:dyDescent="0.25">
      <c r="B64" s="439" t="s">
        <v>508</v>
      </c>
      <c r="C64" s="438" t="s">
        <v>571</v>
      </c>
    </row>
    <row r="65" spans="2:3" x14ac:dyDescent="0.25">
      <c r="B65" s="439" t="s">
        <v>484</v>
      </c>
      <c r="C65" s="438" t="s">
        <v>572</v>
      </c>
    </row>
    <row r="66" spans="2:3" x14ac:dyDescent="0.25">
      <c r="B66" s="439" t="s">
        <v>29</v>
      </c>
      <c r="C66" s="438" t="s">
        <v>573</v>
      </c>
    </row>
    <row r="67" spans="2:3" x14ac:dyDescent="0.25">
      <c r="B67" s="439" t="s">
        <v>500</v>
      </c>
      <c r="C67" s="438" t="s">
        <v>574</v>
      </c>
    </row>
    <row r="68" spans="2:3" x14ac:dyDescent="0.25">
      <c r="B68" s="439" t="s">
        <v>575</v>
      </c>
      <c r="C68" s="442" t="s">
        <v>576</v>
      </c>
    </row>
    <row r="69" spans="2:3" x14ac:dyDescent="0.25">
      <c r="B69" s="439" t="s">
        <v>502</v>
      </c>
      <c r="C69" s="438" t="s">
        <v>577</v>
      </c>
    </row>
    <row r="70" spans="2:3" ht="13.8" x14ac:dyDescent="0.25">
      <c r="B70" s="439" t="s">
        <v>578</v>
      </c>
      <c r="C70" s="438" t="s">
        <v>579</v>
      </c>
    </row>
    <row r="71" spans="2:3" x14ac:dyDescent="0.25">
      <c r="B71" s="439" t="s">
        <v>507</v>
      </c>
      <c r="C71" s="438" t="s">
        <v>580</v>
      </c>
    </row>
    <row r="72" spans="2:3" x14ac:dyDescent="0.25">
      <c r="B72" s="441" t="s">
        <v>581</v>
      </c>
      <c r="C72" s="438" t="s">
        <v>582</v>
      </c>
    </row>
    <row r="73" spans="2:3" x14ac:dyDescent="0.25">
      <c r="B73" s="439" t="s">
        <v>497</v>
      </c>
      <c r="C73" s="438" t="s">
        <v>583</v>
      </c>
    </row>
    <row r="74" spans="2:3" x14ac:dyDescent="0.25">
      <c r="B74" s="439" t="s">
        <v>485</v>
      </c>
      <c r="C74" s="438" t="s">
        <v>584</v>
      </c>
    </row>
    <row r="75" spans="2:3" x14ac:dyDescent="0.25">
      <c r="B75" s="439" t="s">
        <v>65</v>
      </c>
      <c r="C75" s="438" t="s">
        <v>585</v>
      </c>
    </row>
    <row r="76" spans="2:3" ht="23.4" x14ac:dyDescent="0.25">
      <c r="B76" s="440" t="s">
        <v>509</v>
      </c>
      <c r="C76" s="438" t="s">
        <v>586</v>
      </c>
    </row>
    <row r="77" spans="2:3" x14ac:dyDescent="0.25">
      <c r="B77" s="440" t="s">
        <v>587</v>
      </c>
      <c r="C77" s="438" t="s">
        <v>588</v>
      </c>
    </row>
    <row r="78" spans="2:3" x14ac:dyDescent="0.25">
      <c r="B78" s="439" t="s">
        <v>589</v>
      </c>
      <c r="C78" s="438" t="s">
        <v>590</v>
      </c>
    </row>
    <row r="79" spans="2:3" x14ac:dyDescent="0.25">
      <c r="B79" s="439" t="s">
        <v>492</v>
      </c>
      <c r="C79" s="438" t="s">
        <v>591</v>
      </c>
    </row>
    <row r="80" spans="2:3" x14ac:dyDescent="0.25">
      <c r="B80" s="439" t="s">
        <v>498</v>
      </c>
      <c r="C80" s="438" t="s">
        <v>592</v>
      </c>
    </row>
    <row r="81" spans="2:3" x14ac:dyDescent="0.25">
      <c r="B81" s="439" t="s">
        <v>493</v>
      </c>
      <c r="C81" s="438" t="s">
        <v>593</v>
      </c>
    </row>
    <row r="82" spans="2:3" x14ac:dyDescent="0.25">
      <c r="B82" s="439" t="s">
        <v>499</v>
      </c>
      <c r="C82" s="438" t="s">
        <v>594</v>
      </c>
    </row>
    <row r="83" spans="2:3" ht="13.8" thickBot="1" x14ac:dyDescent="0.3">
      <c r="B83" s="437" t="s">
        <v>506</v>
      </c>
      <c r="C83" s="436" t="s">
        <v>595</v>
      </c>
    </row>
    <row r="86" spans="2:3" x14ac:dyDescent="0.25">
      <c r="B86" s="435"/>
    </row>
  </sheetData>
  <sheetProtection algorithmName="SHA-512" hashValue="OCAfrm6KOOHb3Hv0RtRLJu4N6+HvoESMBI7XZz8VZAa1CdWufPAoOVLlr1OksdNsHaEHnQatrILAZ21WTEXrUQ==" saltValue="RFWc1Bgve60FsACnGXbGtQ==" spinCount="100000" sheet="1" objects="1" scenarios="1"/>
  <mergeCells count="7">
    <mergeCell ref="B46:C46"/>
    <mergeCell ref="E46:H46"/>
    <mergeCell ref="B2:I2"/>
    <mergeCell ref="B4:H4"/>
    <mergeCell ref="B14:H14"/>
    <mergeCell ref="B24:H24"/>
    <mergeCell ref="B34:J34"/>
  </mergeCells>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91967-4617-40F6-91AD-C2418DCFE6FE}">
  <sheetPr>
    <tabColor rgb="FF00C6B9"/>
  </sheetPr>
  <dimension ref="B2:E7"/>
  <sheetViews>
    <sheetView showGridLines="0" zoomScaleNormal="100" workbookViewId="0">
      <selection activeCell="B7" sqref="B7"/>
    </sheetView>
  </sheetViews>
  <sheetFormatPr defaultColWidth="8.88671875" defaultRowHeight="13.2" x14ac:dyDescent="0.25"/>
  <cols>
    <col min="1" max="1" width="8.88671875" style="299"/>
    <col min="2" max="2" width="24.33203125" style="299" bestFit="1" customWidth="1"/>
    <col min="3" max="3" width="14.88671875" style="299" bestFit="1" customWidth="1"/>
    <col min="4" max="4" width="31.109375" style="299" customWidth="1"/>
    <col min="5" max="5" width="51.88671875" style="299" customWidth="1"/>
    <col min="6" max="16384" width="8.88671875" style="299"/>
  </cols>
  <sheetData>
    <row r="2" spans="2:5" ht="17.399999999999999" x14ac:dyDescent="0.3">
      <c r="B2" s="344" t="s">
        <v>596</v>
      </c>
    </row>
    <row r="3" spans="2:5" ht="13.8" thickBot="1" x14ac:dyDescent="0.3"/>
    <row r="4" spans="2:5" ht="16.5" customHeight="1" thickBot="1" x14ac:dyDescent="0.3">
      <c r="B4" s="421" t="s">
        <v>597</v>
      </c>
      <c r="C4" s="421" t="s">
        <v>598</v>
      </c>
      <c r="D4" s="421" t="s">
        <v>599</v>
      </c>
      <c r="E4" s="422" t="s">
        <v>600</v>
      </c>
    </row>
    <row r="5" spans="2:5" ht="33.75" customHeight="1" x14ac:dyDescent="0.25">
      <c r="B5" s="425" t="s">
        <v>601</v>
      </c>
      <c r="C5" s="426" t="s">
        <v>602</v>
      </c>
      <c r="D5" s="427"/>
      <c r="E5" s="539"/>
    </row>
    <row r="6" spans="2:5" ht="138.75" customHeight="1" x14ac:dyDescent="0.25">
      <c r="B6" s="428" t="s">
        <v>603</v>
      </c>
      <c r="C6" s="423" t="s">
        <v>604</v>
      </c>
      <c r="D6" s="424" t="s">
        <v>605</v>
      </c>
      <c r="E6" s="429" t="s">
        <v>606</v>
      </c>
    </row>
    <row r="7" spans="2:5" ht="53.4" thickBot="1" x14ac:dyDescent="0.3">
      <c r="B7" s="430" t="s">
        <v>607</v>
      </c>
      <c r="C7" s="431" t="s">
        <v>608</v>
      </c>
      <c r="D7" s="432" t="s">
        <v>609</v>
      </c>
      <c r="E7" s="433" t="s">
        <v>610</v>
      </c>
    </row>
  </sheetData>
  <sheetProtection algorithmName="SHA-512" hashValue="nsklKSmDTEXlj57j7ItBHTUqEI5pDS3CPZPVU6gHB0fradz8tK/WaR70/SPuvPREs7JdyyB7XjkoDycBnphp+A==" saltValue="dt6ynqjvm9werkt8YXNFs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C6B9"/>
  </sheetPr>
  <dimension ref="A1:CX45"/>
  <sheetViews>
    <sheetView showGridLines="0" zoomScaleNormal="100" workbookViewId="0"/>
  </sheetViews>
  <sheetFormatPr defaultColWidth="0" defaultRowHeight="13.2" zeroHeight="1" x14ac:dyDescent="0.25"/>
  <cols>
    <col min="1" max="16" width="9.109375" customWidth="1"/>
    <col min="17" max="17" width="6.88671875" customWidth="1"/>
    <col min="18" max="102" width="0" hidden="1" customWidth="1"/>
    <col min="103" max="16384" width="9.10937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sheetProtection algorithmName="SHA-512" hashValue="LsWyCAAd2qSxtShI0ECAKuTiGaVGrOrjDXvZgZ3v8cQ2ikfaOQHYX3KC9+mSGVcMIDKpoLhEabTQ+TwNkA04dg==" saltValue="1zVEaD1KkI6jjtE3If5pQw==" spinCount="100000" sheet="1" objects="1" scenarios="1"/>
  <phoneticPr fontId="7"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C6B9"/>
    <pageSetUpPr fitToPage="1"/>
  </sheetPr>
  <dimension ref="B1:W58"/>
  <sheetViews>
    <sheetView showGridLines="0" zoomScaleNormal="100" workbookViewId="0">
      <selection activeCell="C17" sqref="C17"/>
    </sheetView>
  </sheetViews>
  <sheetFormatPr defaultColWidth="9.6640625" defaultRowHeight="13.2" x14ac:dyDescent="0.25"/>
  <cols>
    <col min="1" max="1" width="6.33203125" customWidth="1"/>
    <col min="2" max="2" width="8.6640625" bestFit="1" customWidth="1"/>
    <col min="3" max="3" width="34.88671875" customWidth="1"/>
    <col min="4" max="4" width="28.109375" customWidth="1"/>
    <col min="5" max="5" width="11" customWidth="1"/>
    <col min="6" max="6" width="12.33203125" customWidth="1"/>
    <col min="7" max="7" width="12.88671875" customWidth="1"/>
    <col min="8" max="8" width="9" customWidth="1"/>
    <col min="9" max="9" width="12.6640625" customWidth="1"/>
    <col min="10" max="10" width="13.88671875" customWidth="1"/>
    <col min="11" max="11" width="8.44140625" customWidth="1"/>
    <col min="12" max="12" width="10.88671875" customWidth="1"/>
    <col min="13" max="13" width="11.109375" customWidth="1"/>
    <col min="14" max="14" width="11.88671875" customWidth="1"/>
    <col min="15" max="15" width="18.109375" customWidth="1"/>
    <col min="16" max="16" width="23" customWidth="1"/>
    <col min="17" max="17" width="18.44140625" customWidth="1"/>
    <col min="18" max="18" width="2.88671875" customWidth="1"/>
    <col min="19" max="19" width="3" customWidth="1"/>
    <col min="20" max="20" width="17.6640625" customWidth="1"/>
    <col min="21" max="21" width="12" customWidth="1"/>
    <col min="22" max="22" width="18.6640625" customWidth="1"/>
    <col min="23" max="23" width="42.88671875" customWidth="1"/>
    <col min="24" max="24" width="2.44140625" customWidth="1"/>
    <col min="25" max="27" width="19.109375" customWidth="1"/>
    <col min="28" max="28" width="7.109375" customWidth="1"/>
    <col min="29" max="29" width="15.88671875" customWidth="1"/>
    <col min="30" max="30" width="16.88671875" customWidth="1"/>
    <col min="31" max="31" width="5.44140625" customWidth="1"/>
  </cols>
  <sheetData>
    <row r="1" spans="2:23" x14ac:dyDescent="0.25">
      <c r="B1" s="14"/>
      <c r="E1" s="11"/>
      <c r="F1" s="11"/>
      <c r="G1" s="11"/>
      <c r="H1" s="11"/>
      <c r="I1" s="11"/>
      <c r="J1" s="11"/>
      <c r="K1" s="11"/>
    </row>
    <row r="2" spans="2:23" ht="18" customHeight="1" x14ac:dyDescent="0.4">
      <c r="B2" s="14"/>
      <c r="C2" s="278" t="s">
        <v>4</v>
      </c>
    </row>
    <row r="3" spans="2:23" ht="18" customHeight="1" x14ac:dyDescent="0.25"/>
    <row r="4" spans="2:23" ht="18" customHeight="1" x14ac:dyDescent="0.3">
      <c r="B4" s="911"/>
      <c r="C4" s="6"/>
      <c r="D4" s="116" t="s">
        <v>5</v>
      </c>
    </row>
    <row r="5" spans="2:23" ht="18" customHeight="1" x14ac:dyDescent="0.3">
      <c r="B5" s="911"/>
      <c r="C5" s="7"/>
      <c r="D5" s="116" t="s">
        <v>6</v>
      </c>
    </row>
    <row r="6" spans="2:23" ht="18" customHeight="1" x14ac:dyDescent="0.25">
      <c r="C6" s="125"/>
      <c r="D6" s="116" t="s">
        <v>7</v>
      </c>
    </row>
    <row r="7" spans="2:23" ht="18" customHeight="1" x14ac:dyDescent="0.25"/>
    <row r="8" spans="2:23" ht="18" customHeight="1" x14ac:dyDescent="0.3">
      <c r="B8" s="911"/>
      <c r="C8" s="317" t="s">
        <v>8</v>
      </c>
    </row>
    <row r="9" spans="2:23" ht="18" customHeight="1" x14ac:dyDescent="0.25">
      <c r="C9" s="317" t="s">
        <v>9</v>
      </c>
    </row>
    <row r="10" spans="2:23" ht="18.75" customHeight="1" thickBot="1" x14ac:dyDescent="0.3">
      <c r="E10" s="159" t="s">
        <v>10</v>
      </c>
      <c r="F10" s="159"/>
      <c r="G10" s="159"/>
      <c r="H10" s="159"/>
      <c r="I10" s="159"/>
      <c r="J10" s="159"/>
      <c r="K10" s="159"/>
      <c r="L10" s="159"/>
      <c r="M10" s="159"/>
      <c r="N10" s="159"/>
      <c r="O10" s="159"/>
      <c r="P10" s="159"/>
      <c r="Q10" s="159"/>
    </row>
    <row r="11" spans="2:23" ht="18" customHeight="1" thickBot="1" x14ac:dyDescent="0.3">
      <c r="E11" s="933" t="s">
        <v>11</v>
      </c>
      <c r="F11" s="935"/>
      <c r="G11" s="928" t="s">
        <v>12</v>
      </c>
      <c r="H11" s="929"/>
      <c r="I11" s="929"/>
      <c r="J11" s="929"/>
      <c r="K11" s="929"/>
      <c r="L11" s="933" t="s">
        <v>13</v>
      </c>
      <c r="M11" s="934"/>
      <c r="N11" s="97" t="s">
        <v>14</v>
      </c>
      <c r="O11" s="98" t="s">
        <v>15</v>
      </c>
      <c r="P11" s="933" t="s">
        <v>16</v>
      </c>
      <c r="Q11" s="934"/>
      <c r="R11" s="41"/>
      <c r="S11" s="32"/>
      <c r="T11" s="930" t="s">
        <v>17</v>
      </c>
      <c r="U11" s="931"/>
      <c r="V11" s="931"/>
      <c r="W11" s="932"/>
    </row>
    <row r="12" spans="2:23" ht="18" customHeight="1" x14ac:dyDescent="0.25">
      <c r="E12" s="141" t="s">
        <v>18</v>
      </c>
      <c r="F12" s="85" t="s">
        <v>19</v>
      </c>
      <c r="G12" s="86" t="s">
        <v>20</v>
      </c>
      <c r="H12" s="87" t="s">
        <v>21</v>
      </c>
      <c r="I12" s="86" t="s">
        <v>22</v>
      </c>
      <c r="J12" s="86" t="s">
        <v>23</v>
      </c>
      <c r="K12" s="86" t="s">
        <v>24</v>
      </c>
      <c r="L12" s="87" t="s">
        <v>25</v>
      </c>
      <c r="M12" s="87" t="s">
        <v>26</v>
      </c>
      <c r="N12" s="88" t="s">
        <v>27</v>
      </c>
      <c r="O12" s="88" t="s">
        <v>28</v>
      </c>
      <c r="P12" s="88" t="s">
        <v>29</v>
      </c>
      <c r="Q12" s="89" t="s">
        <v>30</v>
      </c>
      <c r="R12" s="42"/>
      <c r="S12" s="32"/>
      <c r="T12" s="99" t="s">
        <v>31</v>
      </c>
      <c r="U12" s="48" t="s">
        <v>32</v>
      </c>
      <c r="V12" s="48" t="s">
        <v>33</v>
      </c>
      <c r="W12" s="59" t="s">
        <v>34</v>
      </c>
    </row>
    <row r="13" spans="2:23" ht="44.25" customHeight="1" thickBot="1" x14ac:dyDescent="0.35">
      <c r="B13" s="39" t="s">
        <v>35</v>
      </c>
      <c r="C13" s="33"/>
      <c r="D13" s="34"/>
      <c r="E13" s="60" t="s">
        <v>36</v>
      </c>
      <c r="F13" s="49" t="s">
        <v>37</v>
      </c>
      <c r="G13" s="49" t="s">
        <v>38</v>
      </c>
      <c r="H13" s="49" t="s">
        <v>39</v>
      </c>
      <c r="I13" s="49" t="s">
        <v>40</v>
      </c>
      <c r="J13" s="49" t="s">
        <v>41</v>
      </c>
      <c r="K13" s="49" t="s">
        <v>42</v>
      </c>
      <c r="L13" s="50" t="s">
        <v>43</v>
      </c>
      <c r="M13" s="50" t="s">
        <v>44</v>
      </c>
      <c r="N13" s="50" t="s">
        <v>45</v>
      </c>
      <c r="O13" s="50" t="s">
        <v>46</v>
      </c>
      <c r="P13" s="124" t="s">
        <v>47</v>
      </c>
      <c r="Q13" s="61" t="s">
        <v>48</v>
      </c>
      <c r="R13" s="43"/>
      <c r="S13" s="32"/>
      <c r="T13" s="100" t="s">
        <v>49</v>
      </c>
      <c r="U13" s="50" t="s">
        <v>50</v>
      </c>
      <c r="V13" s="51" t="s">
        <v>51</v>
      </c>
      <c r="W13" s="61" t="s">
        <v>52</v>
      </c>
    </row>
    <row r="14" spans="2:23" s="116" customFormat="1" ht="33.75" customHeight="1" thickBot="1" x14ac:dyDescent="0.3">
      <c r="B14" s="926" t="s">
        <v>53</v>
      </c>
      <c r="C14" s="927"/>
      <c r="D14" s="140" t="s">
        <v>54</v>
      </c>
      <c r="E14" s="77"/>
      <c r="F14" s="80"/>
      <c r="G14" s="80"/>
      <c r="H14" s="80"/>
      <c r="I14" s="80" t="s">
        <v>55</v>
      </c>
      <c r="J14" s="143" t="s">
        <v>56</v>
      </c>
      <c r="K14" s="80"/>
      <c r="L14" s="82"/>
      <c r="M14" s="82"/>
      <c r="N14" s="142"/>
      <c r="O14" s="142"/>
      <c r="P14" s="82" t="s">
        <v>57</v>
      </c>
      <c r="Q14" s="84" t="s">
        <v>58</v>
      </c>
      <c r="R14" s="43"/>
      <c r="S14" s="119"/>
      <c r="T14" s="100" t="s">
        <v>59</v>
      </c>
      <c r="U14" s="50"/>
      <c r="V14" s="105" t="s">
        <v>60</v>
      </c>
      <c r="W14" s="94"/>
    </row>
    <row r="15" spans="2:23" s="116" customFormat="1" ht="18" customHeight="1" thickBot="1" x14ac:dyDescent="0.3">
      <c r="B15" s="126">
        <v>0</v>
      </c>
      <c r="C15" s="139" t="s">
        <v>61</v>
      </c>
      <c r="D15" s="144" t="s">
        <v>62</v>
      </c>
      <c r="E15" s="127">
        <v>1000</v>
      </c>
      <c r="F15" s="128" t="s">
        <v>63</v>
      </c>
      <c r="G15" s="152">
        <v>2.8199999999999999E-2</v>
      </c>
      <c r="H15" s="130" t="s">
        <v>64</v>
      </c>
      <c r="I15" s="145" t="s">
        <v>65</v>
      </c>
      <c r="J15" s="127">
        <f>E15*G15</f>
        <v>28.2</v>
      </c>
      <c r="K15" s="127" t="s">
        <v>66</v>
      </c>
      <c r="L15" s="148">
        <v>25.8</v>
      </c>
      <c r="M15" s="128" t="s">
        <v>67</v>
      </c>
      <c r="N15" s="131">
        <v>1</v>
      </c>
      <c r="O15" s="132">
        <v>1</v>
      </c>
      <c r="P15" s="133">
        <f>+J15*L15*N15*O15*(44/12)</f>
        <v>2667.72</v>
      </c>
      <c r="Q15" s="134">
        <f>P15/1000</f>
        <v>2.6677199999999996</v>
      </c>
      <c r="R15" s="44"/>
      <c r="S15" s="122"/>
      <c r="T15" s="135" t="s">
        <v>68</v>
      </c>
      <c r="U15" s="136">
        <v>2.66</v>
      </c>
      <c r="V15" s="137">
        <f>(U15-Q15)/U15</f>
        <v>-2.9022556390975581E-3</v>
      </c>
      <c r="W15" s="138" t="s">
        <v>69</v>
      </c>
    </row>
    <row r="16" spans="2:23" ht="18" customHeight="1" x14ac:dyDescent="0.25">
      <c r="B16" s="95">
        <v>1</v>
      </c>
      <c r="C16" s="310"/>
      <c r="D16" s="311"/>
      <c r="E16" s="21"/>
      <c r="F16" s="53"/>
      <c r="G16" s="22"/>
      <c r="H16" s="53"/>
      <c r="I16" s="53"/>
      <c r="J16" s="540">
        <f>E16*G16</f>
        <v>0</v>
      </c>
      <c r="K16" s="21"/>
      <c r="L16" s="149"/>
      <c r="M16" s="21"/>
      <c r="N16" s="23"/>
      <c r="O16" s="96"/>
      <c r="P16" s="543">
        <f>+J16*L16*N16*O16*(44/12)</f>
        <v>0</v>
      </c>
      <c r="Q16" s="544">
        <f t="shared" ref="Q16:Q35" si="0">P16/1000</f>
        <v>0</v>
      </c>
      <c r="R16" s="45"/>
      <c r="S16" s="37"/>
      <c r="T16" s="106"/>
      <c r="U16" s="96"/>
      <c r="V16" s="549" t="str">
        <f t="shared" ref="V16:V35" si="1">IF(T16="Y",(U16-Q16)/U16,"NA")</f>
        <v>NA</v>
      </c>
      <c r="W16" s="314"/>
    </row>
    <row r="17" spans="2:23" ht="18" customHeight="1" x14ac:dyDescent="0.25">
      <c r="B17" s="56">
        <f t="shared" ref="B17:B35" si="2">B16+1</f>
        <v>2</v>
      </c>
      <c r="C17" s="306"/>
      <c r="D17" s="312"/>
      <c r="E17" s="15"/>
      <c r="F17" s="52"/>
      <c r="G17" s="16"/>
      <c r="H17" s="52"/>
      <c r="I17" s="52"/>
      <c r="J17" s="541">
        <f>E17*G17</f>
        <v>0</v>
      </c>
      <c r="K17" s="15"/>
      <c r="L17" s="150"/>
      <c r="M17" s="15"/>
      <c r="N17" s="17"/>
      <c r="O17" s="18"/>
      <c r="P17" s="545">
        <f t="shared" ref="P17:P35" si="3">+J17*L17*N17*O17*(44/12)</f>
        <v>0</v>
      </c>
      <c r="Q17" s="546">
        <f t="shared" si="0"/>
        <v>0</v>
      </c>
      <c r="R17" s="45"/>
      <c r="S17" s="37"/>
      <c r="T17" s="101"/>
      <c r="U17" s="18"/>
      <c r="V17" s="550" t="str">
        <f t="shared" si="1"/>
        <v>NA</v>
      </c>
      <c r="W17" s="315"/>
    </row>
    <row r="18" spans="2:23" ht="18" customHeight="1" x14ac:dyDescent="0.25">
      <c r="B18" s="56">
        <f t="shared" si="2"/>
        <v>3</v>
      </c>
      <c r="C18" s="306"/>
      <c r="D18" s="312"/>
      <c r="E18" s="15"/>
      <c r="F18" s="52"/>
      <c r="G18" s="16"/>
      <c r="H18" s="52"/>
      <c r="I18" s="52"/>
      <c r="J18" s="541">
        <f t="shared" ref="J18:J35" si="4">E18*G18</f>
        <v>0</v>
      </c>
      <c r="K18" s="15"/>
      <c r="L18" s="150"/>
      <c r="M18" s="15"/>
      <c r="N18" s="17"/>
      <c r="O18" s="18"/>
      <c r="P18" s="545">
        <f t="shared" si="3"/>
        <v>0</v>
      </c>
      <c r="Q18" s="546">
        <f t="shared" si="0"/>
        <v>0</v>
      </c>
      <c r="R18" s="45"/>
      <c r="S18" s="37"/>
      <c r="T18" s="101"/>
      <c r="U18" s="18"/>
      <c r="V18" s="550" t="str">
        <f t="shared" si="1"/>
        <v>NA</v>
      </c>
      <c r="W18" s="315"/>
    </row>
    <row r="19" spans="2:23" ht="18" customHeight="1" x14ac:dyDescent="0.25">
      <c r="B19" s="56">
        <f t="shared" si="2"/>
        <v>4</v>
      </c>
      <c r="C19" s="306"/>
      <c r="D19" s="312"/>
      <c r="E19" s="15"/>
      <c r="F19" s="52"/>
      <c r="G19" s="16"/>
      <c r="H19" s="52"/>
      <c r="I19" s="52"/>
      <c r="J19" s="541">
        <f t="shared" si="4"/>
        <v>0</v>
      </c>
      <c r="K19" s="15"/>
      <c r="L19" s="150"/>
      <c r="M19" s="15"/>
      <c r="N19" s="17"/>
      <c r="O19" s="18"/>
      <c r="P19" s="545">
        <f t="shared" si="3"/>
        <v>0</v>
      </c>
      <c r="Q19" s="546">
        <f t="shared" si="0"/>
        <v>0</v>
      </c>
      <c r="R19" s="45"/>
      <c r="S19" s="37"/>
      <c r="T19" s="101"/>
      <c r="U19" s="18"/>
      <c r="V19" s="550" t="str">
        <f t="shared" si="1"/>
        <v>NA</v>
      </c>
      <c r="W19" s="315"/>
    </row>
    <row r="20" spans="2:23" ht="18" customHeight="1" x14ac:dyDescent="0.25">
      <c r="B20" s="56">
        <f t="shared" si="2"/>
        <v>5</v>
      </c>
      <c r="C20" s="306"/>
      <c r="D20" s="579"/>
      <c r="E20" s="15"/>
      <c r="F20" s="52"/>
      <c r="G20" s="16"/>
      <c r="H20" s="52"/>
      <c r="I20" s="52"/>
      <c r="J20" s="541">
        <f t="shared" si="4"/>
        <v>0</v>
      </c>
      <c r="K20" s="15"/>
      <c r="L20" s="150"/>
      <c r="M20" s="15"/>
      <c r="N20" s="17"/>
      <c r="O20" s="18"/>
      <c r="P20" s="545">
        <f t="shared" si="3"/>
        <v>0</v>
      </c>
      <c r="Q20" s="546">
        <f t="shared" si="0"/>
        <v>0</v>
      </c>
      <c r="R20" s="45"/>
      <c r="S20" s="37"/>
      <c r="T20" s="101"/>
      <c r="U20" s="18"/>
      <c r="V20" s="550" t="str">
        <f t="shared" si="1"/>
        <v>NA</v>
      </c>
      <c r="W20" s="315"/>
    </row>
    <row r="21" spans="2:23" ht="18" customHeight="1" x14ac:dyDescent="0.25">
      <c r="B21" s="56">
        <f t="shared" si="2"/>
        <v>6</v>
      </c>
      <c r="C21" s="306"/>
      <c r="D21" s="312"/>
      <c r="E21" s="15"/>
      <c r="F21" s="52"/>
      <c r="G21" s="16"/>
      <c r="H21" s="52"/>
      <c r="I21" s="52"/>
      <c r="J21" s="541">
        <f t="shared" si="4"/>
        <v>0</v>
      </c>
      <c r="K21" s="15"/>
      <c r="L21" s="150"/>
      <c r="M21" s="15"/>
      <c r="N21" s="17"/>
      <c r="O21" s="18"/>
      <c r="P21" s="545">
        <f t="shared" si="3"/>
        <v>0</v>
      </c>
      <c r="Q21" s="546">
        <f t="shared" si="0"/>
        <v>0</v>
      </c>
      <c r="R21" s="45"/>
      <c r="S21" s="37"/>
      <c r="T21" s="101"/>
      <c r="U21" s="18"/>
      <c r="V21" s="550" t="str">
        <f t="shared" si="1"/>
        <v>NA</v>
      </c>
      <c r="W21" s="315"/>
    </row>
    <row r="22" spans="2:23" ht="18" customHeight="1" x14ac:dyDescent="0.25">
      <c r="B22" s="56">
        <f t="shared" si="2"/>
        <v>7</v>
      </c>
      <c r="C22" s="306"/>
      <c r="D22" s="312"/>
      <c r="E22" s="15"/>
      <c r="F22" s="52"/>
      <c r="G22" s="16"/>
      <c r="H22" s="52"/>
      <c r="I22" s="52"/>
      <c r="J22" s="541">
        <f t="shared" si="4"/>
        <v>0</v>
      </c>
      <c r="K22" s="15"/>
      <c r="L22" s="150"/>
      <c r="M22" s="15"/>
      <c r="N22" s="17"/>
      <c r="O22" s="18"/>
      <c r="P22" s="545">
        <f t="shared" si="3"/>
        <v>0</v>
      </c>
      <c r="Q22" s="546">
        <f t="shared" si="0"/>
        <v>0</v>
      </c>
      <c r="R22" s="45"/>
      <c r="S22" s="37"/>
      <c r="T22" s="101"/>
      <c r="U22" s="18"/>
      <c r="V22" s="550" t="str">
        <f t="shared" si="1"/>
        <v>NA</v>
      </c>
      <c r="W22" s="315"/>
    </row>
    <row r="23" spans="2:23" ht="18" customHeight="1" x14ac:dyDescent="0.25">
      <c r="B23" s="56">
        <f t="shared" si="2"/>
        <v>8</v>
      </c>
      <c r="C23" s="306"/>
      <c r="D23" s="312"/>
      <c r="E23" s="15"/>
      <c r="F23" s="52"/>
      <c r="G23" s="16"/>
      <c r="H23" s="52"/>
      <c r="I23" s="52"/>
      <c r="J23" s="541">
        <f t="shared" si="4"/>
        <v>0</v>
      </c>
      <c r="K23" s="15"/>
      <c r="L23" s="150"/>
      <c r="M23" s="15"/>
      <c r="N23" s="17"/>
      <c r="O23" s="18"/>
      <c r="P23" s="545">
        <f t="shared" si="3"/>
        <v>0</v>
      </c>
      <c r="Q23" s="546">
        <f t="shared" si="0"/>
        <v>0</v>
      </c>
      <c r="R23" s="45"/>
      <c r="S23" s="37"/>
      <c r="T23" s="101"/>
      <c r="U23" s="18"/>
      <c r="V23" s="550" t="str">
        <f t="shared" si="1"/>
        <v>NA</v>
      </c>
      <c r="W23" s="315"/>
    </row>
    <row r="24" spans="2:23" ht="18" customHeight="1" x14ac:dyDescent="0.25">
      <c r="B24" s="56">
        <f t="shared" si="2"/>
        <v>9</v>
      </c>
      <c r="C24" s="306"/>
      <c r="D24" s="312"/>
      <c r="E24" s="15"/>
      <c r="F24" s="52"/>
      <c r="G24" s="16"/>
      <c r="H24" s="52"/>
      <c r="I24" s="52"/>
      <c r="J24" s="541">
        <f t="shared" si="4"/>
        <v>0</v>
      </c>
      <c r="K24" s="15"/>
      <c r="L24" s="150"/>
      <c r="M24" s="15"/>
      <c r="N24" s="17"/>
      <c r="O24" s="18"/>
      <c r="P24" s="545">
        <f t="shared" si="3"/>
        <v>0</v>
      </c>
      <c r="Q24" s="546">
        <f t="shared" si="0"/>
        <v>0</v>
      </c>
      <c r="R24" s="45"/>
      <c r="S24" s="37"/>
      <c r="T24" s="101"/>
      <c r="U24" s="18"/>
      <c r="V24" s="550" t="str">
        <f t="shared" si="1"/>
        <v>NA</v>
      </c>
      <c r="W24" s="315"/>
    </row>
    <row r="25" spans="2:23" ht="18" customHeight="1" x14ac:dyDescent="0.25">
      <c r="B25" s="56">
        <f t="shared" si="2"/>
        <v>10</v>
      </c>
      <c r="C25" s="306"/>
      <c r="D25" s="312"/>
      <c r="E25" s="15"/>
      <c r="F25" s="52"/>
      <c r="G25" s="16"/>
      <c r="H25" s="52"/>
      <c r="I25" s="52"/>
      <c r="J25" s="541">
        <f t="shared" si="4"/>
        <v>0</v>
      </c>
      <c r="K25" s="15"/>
      <c r="L25" s="150"/>
      <c r="M25" s="15"/>
      <c r="N25" s="17"/>
      <c r="O25" s="18"/>
      <c r="P25" s="545">
        <f t="shared" si="3"/>
        <v>0</v>
      </c>
      <c r="Q25" s="546">
        <f t="shared" si="0"/>
        <v>0</v>
      </c>
      <c r="R25" s="45"/>
      <c r="S25" s="37"/>
      <c r="T25" s="101"/>
      <c r="U25" s="18"/>
      <c r="V25" s="550" t="str">
        <f t="shared" si="1"/>
        <v>NA</v>
      </c>
      <c r="W25" s="315"/>
    </row>
    <row r="26" spans="2:23" ht="18" customHeight="1" x14ac:dyDescent="0.25">
      <c r="B26" s="56">
        <f t="shared" si="2"/>
        <v>11</v>
      </c>
      <c r="C26" s="306"/>
      <c r="D26" s="312"/>
      <c r="E26" s="15"/>
      <c r="F26" s="52"/>
      <c r="G26" s="16"/>
      <c r="H26" s="52"/>
      <c r="I26" s="52"/>
      <c r="J26" s="541">
        <f t="shared" si="4"/>
        <v>0</v>
      </c>
      <c r="K26" s="15"/>
      <c r="L26" s="150"/>
      <c r="M26" s="15"/>
      <c r="N26" s="17"/>
      <c r="O26" s="18"/>
      <c r="P26" s="545">
        <f t="shared" si="3"/>
        <v>0</v>
      </c>
      <c r="Q26" s="546">
        <f t="shared" si="0"/>
        <v>0</v>
      </c>
      <c r="R26" s="45"/>
      <c r="S26" s="37"/>
      <c r="T26" s="101"/>
      <c r="U26" s="18"/>
      <c r="V26" s="550" t="str">
        <f t="shared" si="1"/>
        <v>NA</v>
      </c>
      <c r="W26" s="315"/>
    </row>
    <row r="27" spans="2:23" ht="18" customHeight="1" x14ac:dyDescent="0.25">
      <c r="B27" s="56">
        <f t="shared" si="2"/>
        <v>12</v>
      </c>
      <c r="C27" s="306"/>
      <c r="D27" s="312"/>
      <c r="E27" s="15"/>
      <c r="F27" s="52"/>
      <c r="G27" s="16"/>
      <c r="H27" s="52"/>
      <c r="I27" s="52"/>
      <c r="J27" s="541">
        <f t="shared" si="4"/>
        <v>0</v>
      </c>
      <c r="K27" s="15"/>
      <c r="L27" s="150"/>
      <c r="M27" s="15"/>
      <c r="N27" s="17"/>
      <c r="O27" s="18"/>
      <c r="P27" s="545">
        <f t="shared" si="3"/>
        <v>0</v>
      </c>
      <c r="Q27" s="546">
        <f t="shared" si="0"/>
        <v>0</v>
      </c>
      <c r="R27" s="45"/>
      <c r="S27" s="37"/>
      <c r="T27" s="101"/>
      <c r="U27" s="18"/>
      <c r="V27" s="550" t="str">
        <f t="shared" si="1"/>
        <v>NA</v>
      </c>
      <c r="W27" s="315"/>
    </row>
    <row r="28" spans="2:23" ht="18" customHeight="1" x14ac:dyDescent="0.25">
      <c r="B28" s="56">
        <f t="shared" si="2"/>
        <v>13</v>
      </c>
      <c r="C28" s="306"/>
      <c r="D28" s="312"/>
      <c r="E28" s="15"/>
      <c r="F28" s="52"/>
      <c r="G28" s="16"/>
      <c r="H28" s="52"/>
      <c r="I28" s="52"/>
      <c r="J28" s="541">
        <f t="shared" si="4"/>
        <v>0</v>
      </c>
      <c r="K28" s="15"/>
      <c r="L28" s="150"/>
      <c r="M28" s="15"/>
      <c r="N28" s="17"/>
      <c r="O28" s="18"/>
      <c r="P28" s="545">
        <f t="shared" si="3"/>
        <v>0</v>
      </c>
      <c r="Q28" s="546">
        <f t="shared" si="0"/>
        <v>0</v>
      </c>
      <c r="R28" s="45"/>
      <c r="S28" s="37"/>
      <c r="T28" s="101"/>
      <c r="U28" s="18"/>
      <c r="V28" s="550" t="str">
        <f t="shared" si="1"/>
        <v>NA</v>
      </c>
      <c r="W28" s="315"/>
    </row>
    <row r="29" spans="2:23" ht="18" customHeight="1" x14ac:dyDescent="0.25">
      <c r="B29" s="56">
        <f t="shared" si="2"/>
        <v>14</v>
      </c>
      <c r="C29" s="306"/>
      <c r="D29" s="312"/>
      <c r="E29" s="15"/>
      <c r="F29" s="52"/>
      <c r="G29" s="16"/>
      <c r="H29" s="52"/>
      <c r="I29" s="52"/>
      <c r="J29" s="541">
        <f t="shared" si="4"/>
        <v>0</v>
      </c>
      <c r="K29" s="15"/>
      <c r="L29" s="150"/>
      <c r="M29" s="15"/>
      <c r="N29" s="17"/>
      <c r="O29" s="18"/>
      <c r="P29" s="545">
        <f t="shared" si="3"/>
        <v>0</v>
      </c>
      <c r="Q29" s="546">
        <f t="shared" si="0"/>
        <v>0</v>
      </c>
      <c r="R29" s="45"/>
      <c r="S29" s="37"/>
      <c r="T29" s="101"/>
      <c r="U29" s="18"/>
      <c r="V29" s="550" t="str">
        <f t="shared" si="1"/>
        <v>NA</v>
      </c>
      <c r="W29" s="315"/>
    </row>
    <row r="30" spans="2:23" ht="18" customHeight="1" x14ac:dyDescent="0.25">
      <c r="B30" s="56">
        <f t="shared" si="2"/>
        <v>15</v>
      </c>
      <c r="C30" s="306"/>
      <c r="D30" s="312"/>
      <c r="E30" s="15"/>
      <c r="F30" s="52"/>
      <c r="G30" s="16"/>
      <c r="H30" s="52"/>
      <c r="I30" s="52"/>
      <c r="J30" s="541">
        <f t="shared" si="4"/>
        <v>0</v>
      </c>
      <c r="K30" s="15"/>
      <c r="L30" s="150"/>
      <c r="M30" s="15"/>
      <c r="N30" s="17"/>
      <c r="O30" s="18"/>
      <c r="P30" s="545">
        <f t="shared" si="3"/>
        <v>0</v>
      </c>
      <c r="Q30" s="546">
        <f t="shared" si="0"/>
        <v>0</v>
      </c>
      <c r="R30" s="45"/>
      <c r="S30" s="37"/>
      <c r="T30" s="101"/>
      <c r="U30" s="18"/>
      <c r="V30" s="550" t="str">
        <f t="shared" si="1"/>
        <v>NA</v>
      </c>
      <c r="W30" s="315"/>
    </row>
    <row r="31" spans="2:23" ht="18" customHeight="1" x14ac:dyDescent="0.25">
      <c r="B31" s="56">
        <f t="shared" si="2"/>
        <v>16</v>
      </c>
      <c r="C31" s="306"/>
      <c r="D31" s="312"/>
      <c r="E31" s="15"/>
      <c r="F31" s="52"/>
      <c r="G31" s="16"/>
      <c r="H31" s="52"/>
      <c r="I31" s="52"/>
      <c r="J31" s="541">
        <f t="shared" si="4"/>
        <v>0</v>
      </c>
      <c r="K31" s="15"/>
      <c r="L31" s="150"/>
      <c r="M31" s="15"/>
      <c r="N31" s="17"/>
      <c r="O31" s="18"/>
      <c r="P31" s="545">
        <f t="shared" si="3"/>
        <v>0</v>
      </c>
      <c r="Q31" s="546">
        <f t="shared" si="0"/>
        <v>0</v>
      </c>
      <c r="R31" s="45"/>
      <c r="S31" s="37"/>
      <c r="T31" s="101"/>
      <c r="U31" s="18"/>
      <c r="V31" s="550" t="str">
        <f t="shared" si="1"/>
        <v>NA</v>
      </c>
      <c r="W31" s="315"/>
    </row>
    <row r="32" spans="2:23" ht="18" customHeight="1" x14ac:dyDescent="0.25">
      <c r="B32" s="56">
        <f t="shared" si="2"/>
        <v>17</v>
      </c>
      <c r="C32" s="306"/>
      <c r="D32" s="312"/>
      <c r="E32" s="15"/>
      <c r="F32" s="52"/>
      <c r="G32" s="16"/>
      <c r="H32" s="52"/>
      <c r="I32" s="52"/>
      <c r="J32" s="541">
        <f t="shared" si="4"/>
        <v>0</v>
      </c>
      <c r="K32" s="15"/>
      <c r="L32" s="150"/>
      <c r="M32" s="15"/>
      <c r="N32" s="17"/>
      <c r="O32" s="18"/>
      <c r="P32" s="545">
        <f t="shared" si="3"/>
        <v>0</v>
      </c>
      <c r="Q32" s="546">
        <f t="shared" si="0"/>
        <v>0</v>
      </c>
      <c r="R32" s="45"/>
      <c r="S32" s="37"/>
      <c r="T32" s="101"/>
      <c r="U32" s="18"/>
      <c r="V32" s="550" t="str">
        <f t="shared" si="1"/>
        <v>NA</v>
      </c>
      <c r="W32" s="315"/>
    </row>
    <row r="33" spans="2:23" ht="18" customHeight="1" x14ac:dyDescent="0.25">
      <c r="B33" s="56">
        <f t="shared" si="2"/>
        <v>18</v>
      </c>
      <c r="C33" s="306"/>
      <c r="D33" s="312"/>
      <c r="E33" s="15"/>
      <c r="F33" s="52"/>
      <c r="G33" s="16"/>
      <c r="H33" s="52"/>
      <c r="I33" s="52"/>
      <c r="J33" s="541">
        <f t="shared" si="4"/>
        <v>0</v>
      </c>
      <c r="K33" s="15"/>
      <c r="L33" s="150"/>
      <c r="M33" s="15"/>
      <c r="N33" s="17"/>
      <c r="O33" s="18"/>
      <c r="P33" s="545">
        <f t="shared" si="3"/>
        <v>0</v>
      </c>
      <c r="Q33" s="546">
        <f t="shared" si="0"/>
        <v>0</v>
      </c>
      <c r="R33" s="45"/>
      <c r="S33" s="37"/>
      <c r="T33" s="101"/>
      <c r="U33" s="18"/>
      <c r="V33" s="550" t="str">
        <f t="shared" si="1"/>
        <v>NA</v>
      </c>
      <c r="W33" s="315"/>
    </row>
    <row r="34" spans="2:23" ht="18" customHeight="1" x14ac:dyDescent="0.25">
      <c r="B34" s="56">
        <f t="shared" si="2"/>
        <v>19</v>
      </c>
      <c r="C34" s="306"/>
      <c r="D34" s="312"/>
      <c r="E34" s="15"/>
      <c r="F34" s="52"/>
      <c r="G34" s="16"/>
      <c r="H34" s="52"/>
      <c r="I34" s="52"/>
      <c r="J34" s="541">
        <f t="shared" si="4"/>
        <v>0</v>
      </c>
      <c r="K34" s="15"/>
      <c r="L34" s="150"/>
      <c r="M34" s="15"/>
      <c r="N34" s="17"/>
      <c r="O34" s="18"/>
      <c r="P34" s="545">
        <f t="shared" si="3"/>
        <v>0</v>
      </c>
      <c r="Q34" s="546">
        <f t="shared" si="0"/>
        <v>0</v>
      </c>
      <c r="R34" s="45"/>
      <c r="S34" s="37"/>
      <c r="T34" s="101"/>
      <c r="U34" s="18"/>
      <c r="V34" s="550" t="str">
        <f t="shared" si="1"/>
        <v>NA</v>
      </c>
      <c r="W34" s="315"/>
    </row>
    <row r="35" spans="2:23" ht="18" customHeight="1" thickBot="1" x14ac:dyDescent="0.3">
      <c r="B35" s="57">
        <f t="shared" si="2"/>
        <v>20</v>
      </c>
      <c r="C35" s="308"/>
      <c r="D35" s="313"/>
      <c r="E35" s="62"/>
      <c r="F35" s="90"/>
      <c r="G35" s="91"/>
      <c r="H35" s="90"/>
      <c r="I35" s="90"/>
      <c r="J35" s="542">
        <f t="shared" si="4"/>
        <v>0</v>
      </c>
      <c r="K35" s="62"/>
      <c r="L35" s="151"/>
      <c r="M35" s="62"/>
      <c r="N35" s="92"/>
      <c r="O35" s="63"/>
      <c r="P35" s="547">
        <f t="shared" si="3"/>
        <v>0</v>
      </c>
      <c r="Q35" s="548">
        <f t="shared" si="0"/>
        <v>0</v>
      </c>
      <c r="R35" s="45"/>
      <c r="S35" s="37"/>
      <c r="T35" s="103"/>
      <c r="U35" s="63"/>
      <c r="V35" s="551" t="str">
        <f t="shared" si="1"/>
        <v>NA</v>
      </c>
      <c r="W35" s="316"/>
    </row>
    <row r="36" spans="2:23" ht="18" customHeight="1" x14ac:dyDescent="0.3">
      <c r="B36" s="36" t="s">
        <v>70</v>
      </c>
      <c r="C36" s="912"/>
      <c r="D36" s="913"/>
      <c r="E36" s="913"/>
      <c r="F36" s="913"/>
      <c r="G36" s="913"/>
      <c r="H36" s="913"/>
      <c r="I36" s="913"/>
      <c r="J36" s="913"/>
      <c r="K36" s="913"/>
      <c r="L36" s="912"/>
      <c r="M36" s="912"/>
      <c r="N36" s="914"/>
      <c r="O36" s="914"/>
      <c r="P36" s="914"/>
      <c r="Q36" s="914"/>
      <c r="R36" s="914"/>
      <c r="S36" s="37"/>
      <c r="T36" s="37"/>
      <c r="U36" s="37"/>
      <c r="V36" s="37"/>
    </row>
    <row r="37" spans="2:23" ht="18" customHeight="1" x14ac:dyDescent="0.3">
      <c r="B37" s="120" t="s">
        <v>71</v>
      </c>
      <c r="C37" s="912"/>
      <c r="D37" s="913"/>
      <c r="E37" s="913"/>
      <c r="F37" s="913"/>
      <c r="G37" s="913"/>
      <c r="H37" s="913"/>
      <c r="I37" s="913"/>
      <c r="J37" s="913"/>
      <c r="K37" s="913"/>
      <c r="L37" s="912"/>
      <c r="M37" s="912"/>
      <c r="N37" s="914"/>
      <c r="O37" s="914"/>
      <c r="P37" s="19" t="s">
        <v>72</v>
      </c>
      <c r="Q37" s="20" t="s">
        <v>73</v>
      </c>
      <c r="R37" s="914"/>
      <c r="S37" s="37"/>
      <c r="T37" s="37"/>
      <c r="U37" s="20" t="s">
        <v>73</v>
      </c>
      <c r="V37" s="37"/>
    </row>
    <row r="38" spans="2:23" s="116" customFormat="1" ht="60" customHeight="1" x14ac:dyDescent="0.25">
      <c r="C38" s="915"/>
      <c r="D38" s="916"/>
      <c r="E38" s="916"/>
      <c r="F38" s="916"/>
      <c r="G38" s="916"/>
      <c r="H38" s="916"/>
      <c r="I38" s="916"/>
      <c r="J38" s="916"/>
      <c r="K38" s="916"/>
      <c r="L38" s="915"/>
      <c r="M38" s="915"/>
      <c r="N38" s="917"/>
      <c r="O38" s="121" t="s">
        <v>74</v>
      </c>
      <c r="P38" s="554">
        <f>SUM(P16:P35)</f>
        <v>0</v>
      </c>
      <c r="Q38" s="555">
        <f>SUM(Q16:Q35)</f>
        <v>0</v>
      </c>
      <c r="R38" s="918"/>
      <c r="S38" s="122"/>
      <c r="T38" s="121" t="s">
        <v>74</v>
      </c>
      <c r="U38" s="552">
        <f>SUM(U16:U35)</f>
        <v>0</v>
      </c>
      <c r="V38" s="553" t="str">
        <f>IF(U38="0",(U38-Q38)/U38,"NA")</f>
        <v>NA</v>
      </c>
    </row>
    <row r="39" spans="2:23" ht="60" customHeight="1" thickBot="1" x14ac:dyDescent="0.3">
      <c r="E39" s="159" t="s">
        <v>10</v>
      </c>
    </row>
    <row r="40" spans="2:23" s="116" customFormat="1" ht="60" customHeight="1" thickBot="1" x14ac:dyDescent="0.3">
      <c r="B40" s="120"/>
      <c r="C40" s="915"/>
      <c r="D40" s="916"/>
      <c r="E40" s="933" t="s">
        <v>11</v>
      </c>
      <c r="F40" s="935"/>
      <c r="G40" s="928" t="s">
        <v>12</v>
      </c>
      <c r="H40" s="929"/>
      <c r="I40" s="929"/>
      <c r="J40" s="929"/>
      <c r="K40" s="929"/>
      <c r="L40" s="933" t="s">
        <v>13</v>
      </c>
      <c r="M40" s="934"/>
      <c r="N40" s="97" t="s">
        <v>14</v>
      </c>
      <c r="O40" s="98" t="s">
        <v>15</v>
      </c>
      <c r="P40" s="933" t="s">
        <v>16</v>
      </c>
      <c r="Q40" s="934"/>
      <c r="R40" s="41"/>
      <c r="S40" s="32"/>
      <c r="T40" s="930" t="s">
        <v>17</v>
      </c>
      <c r="U40" s="931"/>
      <c r="V40" s="931"/>
      <c r="W40" s="932"/>
    </row>
    <row r="41" spans="2:23" ht="18" customHeight="1" x14ac:dyDescent="0.25">
      <c r="E41" s="85" t="s">
        <v>18</v>
      </c>
      <c r="F41" s="85" t="s">
        <v>19</v>
      </c>
      <c r="G41" s="86" t="s">
        <v>20</v>
      </c>
      <c r="H41" s="87" t="s">
        <v>21</v>
      </c>
      <c r="I41" s="86" t="s">
        <v>22</v>
      </c>
      <c r="J41" s="86" t="s">
        <v>23</v>
      </c>
      <c r="K41" s="86" t="s">
        <v>24</v>
      </c>
      <c r="L41" s="87" t="s">
        <v>25</v>
      </c>
      <c r="M41" s="87" t="s">
        <v>26</v>
      </c>
      <c r="N41" s="88" t="s">
        <v>27</v>
      </c>
      <c r="O41" s="88" t="s">
        <v>28</v>
      </c>
      <c r="P41" s="88" t="s">
        <v>29</v>
      </c>
      <c r="Q41" s="89" t="s">
        <v>30</v>
      </c>
      <c r="R41" s="42"/>
      <c r="S41" s="32"/>
      <c r="T41" s="99" t="s">
        <v>31</v>
      </c>
      <c r="U41" s="48" t="s">
        <v>32</v>
      </c>
      <c r="V41" s="48" t="s">
        <v>33</v>
      </c>
      <c r="W41" s="59" t="s">
        <v>34</v>
      </c>
    </row>
    <row r="42" spans="2:23" ht="42" x14ac:dyDescent="0.25">
      <c r="E42" s="49" t="s">
        <v>36</v>
      </c>
      <c r="F42" s="49" t="s">
        <v>37</v>
      </c>
      <c r="G42" s="49" t="s">
        <v>38</v>
      </c>
      <c r="H42" s="49" t="s">
        <v>39</v>
      </c>
      <c r="I42" s="49" t="s">
        <v>40</v>
      </c>
      <c r="J42" s="49" t="s">
        <v>41</v>
      </c>
      <c r="K42" s="49" t="s">
        <v>42</v>
      </c>
      <c r="L42" s="50" t="s">
        <v>43</v>
      </c>
      <c r="M42" s="50" t="s">
        <v>44</v>
      </c>
      <c r="N42" s="50" t="s">
        <v>45</v>
      </c>
      <c r="O42" s="50" t="s">
        <v>46</v>
      </c>
      <c r="P42" s="124" t="s">
        <v>47</v>
      </c>
      <c r="Q42" s="61" t="s">
        <v>48</v>
      </c>
      <c r="R42" s="43"/>
      <c r="S42" s="32"/>
      <c r="T42" s="100" t="s">
        <v>49</v>
      </c>
      <c r="U42" s="50" t="s">
        <v>50</v>
      </c>
      <c r="V42" s="51" t="s">
        <v>51</v>
      </c>
      <c r="W42" s="61" t="s">
        <v>52</v>
      </c>
    </row>
    <row r="43" spans="2:23" ht="32.25" customHeight="1" thickBot="1" x14ac:dyDescent="0.35">
      <c r="B43" s="39" t="s">
        <v>75</v>
      </c>
      <c r="C43" s="37"/>
      <c r="D43" s="38"/>
      <c r="E43" s="49"/>
      <c r="F43" s="49"/>
      <c r="G43" s="49"/>
      <c r="H43" s="49"/>
      <c r="I43" s="49" t="s">
        <v>55</v>
      </c>
      <c r="J43" s="49" t="s">
        <v>56</v>
      </c>
      <c r="K43" s="49"/>
      <c r="L43" s="50"/>
      <c r="M43" s="50"/>
      <c r="N43" s="93"/>
      <c r="O43" s="93"/>
      <c r="P43" s="50" t="s">
        <v>57</v>
      </c>
      <c r="Q43" s="94" t="s">
        <v>58</v>
      </c>
      <c r="R43" s="43"/>
      <c r="S43" s="119"/>
      <c r="T43" s="100" t="s">
        <v>59</v>
      </c>
      <c r="U43" s="50"/>
      <c r="V43" s="105" t="s">
        <v>60</v>
      </c>
      <c r="W43" s="94"/>
    </row>
    <row r="44" spans="2:23" s="116" customFormat="1" ht="18" customHeight="1" thickBot="1" x14ac:dyDescent="0.3">
      <c r="B44" s="126">
        <v>0</v>
      </c>
      <c r="C44" s="139" t="s">
        <v>61</v>
      </c>
      <c r="D44" s="144" t="s">
        <v>76</v>
      </c>
      <c r="E44" s="127">
        <v>500</v>
      </c>
      <c r="F44" s="145" t="s">
        <v>63</v>
      </c>
      <c r="G44" s="129">
        <f>26.8/1000</f>
        <v>2.6800000000000001E-2</v>
      </c>
      <c r="H44" s="146" t="s">
        <v>64</v>
      </c>
      <c r="I44" s="145" t="s">
        <v>65</v>
      </c>
      <c r="J44" s="127">
        <f t="shared" ref="J44:J53" si="5">E44*G44</f>
        <v>13.4</v>
      </c>
      <c r="K44" s="147" t="s">
        <v>66</v>
      </c>
      <c r="L44" s="148">
        <v>14.9</v>
      </c>
      <c r="M44" s="145" t="s">
        <v>77</v>
      </c>
      <c r="N44" s="131">
        <v>1</v>
      </c>
      <c r="O44" s="132">
        <v>1</v>
      </c>
      <c r="P44" s="133">
        <f>+J44*L44*N44*O44*(44/12)</f>
        <v>732.08666666666659</v>
      </c>
      <c r="Q44" s="134">
        <f t="shared" ref="Q44:Q53" si="6">P44/1000</f>
        <v>0.73208666666666655</v>
      </c>
      <c r="R44" s="44"/>
      <c r="S44" s="122"/>
      <c r="T44" s="153" t="s">
        <v>31</v>
      </c>
      <c r="U44" s="136"/>
      <c r="V44" s="137" t="str">
        <f>IF(T44="Y",(U44-Q44)/T44,"NA")</f>
        <v>NA</v>
      </c>
      <c r="W44" s="138"/>
    </row>
    <row r="45" spans="2:23" ht="18" customHeight="1" x14ac:dyDescent="0.25">
      <c r="B45" s="95">
        <v>1</v>
      </c>
      <c r="C45" s="304"/>
      <c r="D45" s="305"/>
      <c r="E45" s="21"/>
      <c r="F45" s="53"/>
      <c r="G45" s="22"/>
      <c r="H45" s="53"/>
      <c r="I45" s="53"/>
      <c r="J45" s="556">
        <f t="shared" si="5"/>
        <v>0</v>
      </c>
      <c r="K45" s="21"/>
      <c r="L45" s="149"/>
      <c r="M45" s="21"/>
      <c r="N45" s="23"/>
      <c r="O45" s="96"/>
      <c r="P45" s="558">
        <f t="shared" ref="P45:P53" si="7">+J45*L45*N45*O45*(44/12)</f>
        <v>0</v>
      </c>
      <c r="Q45" s="559">
        <f t="shared" si="6"/>
        <v>0</v>
      </c>
      <c r="R45" s="45"/>
      <c r="S45" s="37"/>
      <c r="T45" s="106"/>
      <c r="U45" s="96"/>
      <c r="V45" s="564" t="str">
        <f t="shared" ref="V45:V53" si="8">IF(S45="Y",(T45-P45)/T45,"NA")</f>
        <v>NA</v>
      </c>
      <c r="W45" s="107"/>
    </row>
    <row r="46" spans="2:23" ht="18" customHeight="1" x14ac:dyDescent="0.25">
      <c r="B46" s="56">
        <f t="shared" ref="B46:B53" si="9">B45+1</f>
        <v>2</v>
      </c>
      <c r="C46" s="306"/>
      <c r="D46" s="307"/>
      <c r="E46" s="15"/>
      <c r="F46" s="52"/>
      <c r="G46" s="16"/>
      <c r="H46" s="52"/>
      <c r="I46" s="52"/>
      <c r="J46" s="556">
        <f t="shared" si="5"/>
        <v>0</v>
      </c>
      <c r="K46" s="15"/>
      <c r="L46" s="150"/>
      <c r="M46" s="15"/>
      <c r="N46" s="17"/>
      <c r="O46" s="18"/>
      <c r="P46" s="560">
        <f t="shared" si="7"/>
        <v>0</v>
      </c>
      <c r="Q46" s="561">
        <f t="shared" si="6"/>
        <v>0</v>
      </c>
      <c r="R46" s="45"/>
      <c r="S46" s="37"/>
      <c r="T46" s="101"/>
      <c r="U46" s="18"/>
      <c r="V46" s="556" t="str">
        <f t="shared" si="8"/>
        <v>NA</v>
      </c>
      <c r="W46" s="102"/>
    </row>
    <row r="47" spans="2:23" ht="18" customHeight="1" x14ac:dyDescent="0.25">
      <c r="B47" s="56">
        <f t="shared" si="9"/>
        <v>3</v>
      </c>
      <c r="C47" s="306"/>
      <c r="D47" s="307"/>
      <c r="E47" s="15"/>
      <c r="F47" s="52"/>
      <c r="G47" s="16"/>
      <c r="H47" s="52"/>
      <c r="I47" s="52"/>
      <c r="J47" s="556">
        <f t="shared" si="5"/>
        <v>0</v>
      </c>
      <c r="K47" s="15"/>
      <c r="L47" s="150"/>
      <c r="M47" s="15"/>
      <c r="N47" s="17"/>
      <c r="O47" s="18"/>
      <c r="P47" s="560">
        <f>+J47*L47*N47*O47*(44/12)</f>
        <v>0</v>
      </c>
      <c r="Q47" s="561">
        <f t="shared" si="6"/>
        <v>0</v>
      </c>
      <c r="R47" s="45"/>
      <c r="S47" s="37"/>
      <c r="T47" s="101"/>
      <c r="U47" s="18"/>
      <c r="V47" s="556" t="str">
        <f t="shared" si="8"/>
        <v>NA</v>
      </c>
      <c r="W47" s="102"/>
    </row>
    <row r="48" spans="2:23" ht="18" customHeight="1" x14ac:dyDescent="0.25">
      <c r="B48" s="56">
        <f t="shared" si="9"/>
        <v>4</v>
      </c>
      <c r="C48" s="306"/>
      <c r="D48" s="307"/>
      <c r="E48" s="15"/>
      <c r="F48" s="52"/>
      <c r="G48" s="16"/>
      <c r="H48" s="52"/>
      <c r="I48" s="52"/>
      <c r="J48" s="556">
        <f t="shared" si="5"/>
        <v>0</v>
      </c>
      <c r="K48" s="15"/>
      <c r="L48" s="150"/>
      <c r="M48" s="15"/>
      <c r="N48" s="17"/>
      <c r="O48" s="18"/>
      <c r="P48" s="560">
        <f t="shared" si="7"/>
        <v>0</v>
      </c>
      <c r="Q48" s="561">
        <f t="shared" si="6"/>
        <v>0</v>
      </c>
      <c r="R48" s="45"/>
      <c r="S48" s="37"/>
      <c r="T48" s="101"/>
      <c r="U48" s="18"/>
      <c r="V48" s="556" t="str">
        <f t="shared" si="8"/>
        <v>NA</v>
      </c>
      <c r="W48" s="102"/>
    </row>
    <row r="49" spans="2:23" ht="18" customHeight="1" x14ac:dyDescent="0.25">
      <c r="B49" s="56">
        <f t="shared" si="9"/>
        <v>5</v>
      </c>
      <c r="C49" s="306"/>
      <c r="D49" s="307"/>
      <c r="E49" s="15"/>
      <c r="F49" s="52"/>
      <c r="G49" s="16"/>
      <c r="H49" s="52"/>
      <c r="I49" s="52"/>
      <c r="J49" s="556">
        <f t="shared" si="5"/>
        <v>0</v>
      </c>
      <c r="K49" s="15"/>
      <c r="L49" s="150"/>
      <c r="M49" s="15"/>
      <c r="N49" s="17"/>
      <c r="O49" s="18"/>
      <c r="P49" s="560">
        <f t="shared" si="7"/>
        <v>0</v>
      </c>
      <c r="Q49" s="561">
        <f t="shared" si="6"/>
        <v>0</v>
      </c>
      <c r="R49" s="45"/>
      <c r="S49" s="37"/>
      <c r="T49" s="101"/>
      <c r="U49" s="18"/>
      <c r="V49" s="556" t="str">
        <f t="shared" si="8"/>
        <v>NA</v>
      </c>
      <c r="W49" s="102"/>
    </row>
    <row r="50" spans="2:23" ht="18" customHeight="1" x14ac:dyDescent="0.25">
      <c r="B50" s="56">
        <f t="shared" si="9"/>
        <v>6</v>
      </c>
      <c r="C50" s="306"/>
      <c r="D50" s="307"/>
      <c r="E50" s="15"/>
      <c r="F50" s="52"/>
      <c r="G50" s="16"/>
      <c r="H50" s="52"/>
      <c r="I50" s="52"/>
      <c r="J50" s="556">
        <f t="shared" si="5"/>
        <v>0</v>
      </c>
      <c r="K50" s="15"/>
      <c r="L50" s="150"/>
      <c r="M50" s="15"/>
      <c r="N50" s="17"/>
      <c r="O50" s="18"/>
      <c r="P50" s="560">
        <f t="shared" si="7"/>
        <v>0</v>
      </c>
      <c r="Q50" s="561">
        <f t="shared" si="6"/>
        <v>0</v>
      </c>
      <c r="R50" s="45"/>
      <c r="S50" s="37"/>
      <c r="T50" s="101"/>
      <c r="U50" s="18"/>
      <c r="V50" s="556" t="str">
        <f t="shared" si="8"/>
        <v>NA</v>
      </c>
      <c r="W50" s="102"/>
    </row>
    <row r="51" spans="2:23" ht="18" customHeight="1" x14ac:dyDescent="0.25">
      <c r="B51" s="56">
        <f t="shared" si="9"/>
        <v>7</v>
      </c>
      <c r="C51" s="306"/>
      <c r="D51" s="307"/>
      <c r="E51" s="15"/>
      <c r="F51" s="52"/>
      <c r="G51" s="16"/>
      <c r="H51" s="52"/>
      <c r="I51" s="52"/>
      <c r="J51" s="556">
        <f t="shared" si="5"/>
        <v>0</v>
      </c>
      <c r="K51" s="15"/>
      <c r="L51" s="150"/>
      <c r="M51" s="15"/>
      <c r="N51" s="17"/>
      <c r="O51" s="18"/>
      <c r="P51" s="560">
        <f t="shared" si="7"/>
        <v>0</v>
      </c>
      <c r="Q51" s="561">
        <f t="shared" si="6"/>
        <v>0</v>
      </c>
      <c r="R51" s="45"/>
      <c r="S51" s="37"/>
      <c r="T51" s="101"/>
      <c r="U51" s="18"/>
      <c r="V51" s="556" t="str">
        <f t="shared" si="8"/>
        <v>NA</v>
      </c>
      <c r="W51" s="102"/>
    </row>
    <row r="52" spans="2:23" ht="18" customHeight="1" x14ac:dyDescent="0.25">
      <c r="B52" s="56">
        <f t="shared" si="9"/>
        <v>8</v>
      </c>
      <c r="C52" s="306"/>
      <c r="D52" s="307"/>
      <c r="E52" s="15"/>
      <c r="F52" s="52"/>
      <c r="G52" s="16"/>
      <c r="H52" s="52"/>
      <c r="I52" s="52"/>
      <c r="J52" s="556">
        <f t="shared" si="5"/>
        <v>0</v>
      </c>
      <c r="K52" s="15"/>
      <c r="L52" s="150"/>
      <c r="M52" s="15"/>
      <c r="N52" s="17"/>
      <c r="O52" s="18"/>
      <c r="P52" s="560">
        <f t="shared" si="7"/>
        <v>0</v>
      </c>
      <c r="Q52" s="561">
        <f t="shared" si="6"/>
        <v>0</v>
      </c>
      <c r="R52" s="45"/>
      <c r="S52" s="37"/>
      <c r="T52" s="101"/>
      <c r="U52" s="18"/>
      <c r="V52" s="556" t="str">
        <f t="shared" si="8"/>
        <v>NA</v>
      </c>
      <c r="W52" s="102"/>
    </row>
    <row r="53" spans="2:23" ht="18" customHeight="1" thickBot="1" x14ac:dyDescent="0.3">
      <c r="B53" s="57">
        <f t="shared" si="9"/>
        <v>9</v>
      </c>
      <c r="C53" s="308"/>
      <c r="D53" s="309"/>
      <c r="E53" s="62"/>
      <c r="F53" s="90"/>
      <c r="G53" s="91"/>
      <c r="H53" s="90"/>
      <c r="I53" s="90"/>
      <c r="J53" s="557">
        <f t="shared" si="5"/>
        <v>0</v>
      </c>
      <c r="K53" s="62"/>
      <c r="L53" s="151"/>
      <c r="M53" s="62"/>
      <c r="N53" s="92"/>
      <c r="O53" s="63"/>
      <c r="P53" s="562">
        <f t="shared" si="7"/>
        <v>0</v>
      </c>
      <c r="Q53" s="563">
        <f t="shared" si="6"/>
        <v>0</v>
      </c>
      <c r="R53" s="45"/>
      <c r="S53" s="37"/>
      <c r="T53" s="103"/>
      <c r="U53" s="63"/>
      <c r="V53" s="557" t="str">
        <f t="shared" si="8"/>
        <v>NA</v>
      </c>
      <c r="W53" s="104"/>
    </row>
    <row r="54" spans="2:23" ht="18" customHeight="1" x14ac:dyDescent="0.25">
      <c r="B54" s="170" t="s">
        <v>70</v>
      </c>
    </row>
    <row r="55" spans="2:23" ht="18" customHeight="1" x14ac:dyDescent="0.3">
      <c r="C55" s="912"/>
      <c r="D55" s="913"/>
      <c r="E55" s="913"/>
      <c r="F55" s="913"/>
      <c r="G55" s="913"/>
      <c r="H55" s="913"/>
      <c r="I55" s="913"/>
      <c r="J55" s="913"/>
      <c r="K55" s="913"/>
      <c r="L55" s="912"/>
      <c r="M55" s="912"/>
      <c r="N55" s="914"/>
      <c r="O55" s="914"/>
      <c r="P55" s="19" t="s">
        <v>72</v>
      </c>
      <c r="Q55" s="20" t="s">
        <v>73</v>
      </c>
      <c r="R55" s="914"/>
      <c r="S55" s="37"/>
      <c r="T55" s="37"/>
      <c r="U55" s="20" t="s">
        <v>73</v>
      </c>
      <c r="V55" s="37"/>
      <c r="W55" s="37"/>
    </row>
    <row r="56" spans="2:23" s="116" customFormat="1" ht="57" customHeight="1" x14ac:dyDescent="0.25">
      <c r="O56" s="123" t="s">
        <v>78</v>
      </c>
      <c r="P56" s="555">
        <f>SUM(P45:P53)</f>
        <v>0</v>
      </c>
      <c r="Q56" s="555">
        <f>SUM(Q45:Q53)</f>
        <v>0</v>
      </c>
      <c r="R56" s="919"/>
      <c r="S56" s="119"/>
      <c r="T56" s="123" t="s">
        <v>78</v>
      </c>
      <c r="U56" s="555">
        <f>SUM(U44:U53)</f>
        <v>0</v>
      </c>
      <c r="V56" s="565" t="str">
        <f>IF(U56="0",(U56-Q56)/U56,"NA")</f>
        <v>NA</v>
      </c>
      <c r="W56" s="119"/>
    </row>
    <row r="57" spans="2:23" ht="18" customHeight="1" x14ac:dyDescent="0.25"/>
    <row r="58" spans="2:23" ht="18" customHeight="1" x14ac:dyDescent="0.25"/>
  </sheetData>
  <sheetProtection algorithmName="SHA-512" hashValue="wV4SnZsqfU/GWbKJCKtxmu/GFXqv9Kcdx5s0E1We9ApY+KmJR5jRQZP+DYmi9OHGuPG17/XdRFTbk0k7ZvPC+g==" saltValue="GJA/Kkdb6oAIMCLHb9AGAw==" spinCount="100000" sheet="1" objects="1" scenarios="1"/>
  <mergeCells count="11">
    <mergeCell ref="E40:F40"/>
    <mergeCell ref="G40:K40"/>
    <mergeCell ref="L40:M40"/>
    <mergeCell ref="P40:Q40"/>
    <mergeCell ref="T40:W40"/>
    <mergeCell ref="B14:C14"/>
    <mergeCell ref="G11:K11"/>
    <mergeCell ref="T11:W11"/>
    <mergeCell ref="P11:Q11"/>
    <mergeCell ref="E11:F11"/>
    <mergeCell ref="L11:M11"/>
  </mergeCells>
  <phoneticPr fontId="0" type="noConversion"/>
  <dataValidations count="1">
    <dataValidation allowBlank="1" showInputMessage="1" showErrorMessage="1" errorTitle="Incorrect Value" error="Value must be greater than zero." sqref="E16:E35 L16:L35" xr:uid="{4977E705-3E2E-4CAC-AD00-D1E0090C0ADC}"/>
  </dataValidations>
  <pageMargins left="0.5" right="0.5" top="1" bottom="1" header="0.5" footer="0.5"/>
  <pageSetup paperSize="3" scale="38"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C6B9"/>
  </sheetPr>
  <dimension ref="B2:N73"/>
  <sheetViews>
    <sheetView showGridLines="0" workbookViewId="0"/>
  </sheetViews>
  <sheetFormatPr defaultRowHeight="13.2" x14ac:dyDescent="0.25"/>
  <cols>
    <col min="1" max="1" width="9.109375" customWidth="1"/>
    <col min="2" max="2" width="16.88671875" customWidth="1"/>
    <col min="3" max="3" width="35.5546875" customWidth="1"/>
    <col min="4" max="4" width="3.88671875" style="14" customWidth="1"/>
    <col min="5" max="5" width="12" customWidth="1"/>
    <col min="6" max="6" width="16.5546875" customWidth="1"/>
    <col min="7" max="7" width="17.5546875" customWidth="1"/>
    <col min="8" max="8" width="19.109375" customWidth="1"/>
    <col min="9" max="10" width="21.109375" customWidth="1"/>
    <col min="11" max="11" width="24.44140625" customWidth="1"/>
  </cols>
  <sheetData>
    <row r="2" spans="2:11" ht="15.6" x14ac:dyDescent="0.3">
      <c r="B2" s="278" t="s">
        <v>79</v>
      </c>
      <c r="C2" s="920"/>
      <c r="D2" s="921"/>
      <c r="E2" s="920"/>
    </row>
    <row r="4" spans="2:11" ht="18.600000000000001" x14ac:dyDescent="0.4">
      <c r="B4" s="154" t="s">
        <v>80</v>
      </c>
    </row>
    <row r="5" spans="2:11" ht="14.25" customHeight="1" x14ac:dyDescent="0.25"/>
    <row r="6" spans="2:11" ht="15" x14ac:dyDescent="0.25">
      <c r="B6" s="154" t="s">
        <v>81</v>
      </c>
    </row>
    <row r="7" spans="2:11" ht="15" x14ac:dyDescent="0.25">
      <c r="B7" s="154" t="s">
        <v>82</v>
      </c>
    </row>
    <row r="8" spans="2:11" ht="15.6" thickBot="1" x14ac:dyDescent="0.3">
      <c r="B8" s="154"/>
      <c r="E8" s="155"/>
      <c r="F8" s="156"/>
      <c r="K8" s="157"/>
    </row>
    <row r="9" spans="2:11" ht="20.25" customHeight="1" thickBot="1" x14ac:dyDescent="0.3">
      <c r="B9" s="938" t="s">
        <v>83</v>
      </c>
      <c r="C9" s="939"/>
      <c r="D9" s="958" t="s">
        <v>84</v>
      </c>
      <c r="E9" s="948" t="s">
        <v>85</v>
      </c>
      <c r="F9" s="949"/>
      <c r="G9" s="950"/>
      <c r="H9" s="955" t="s">
        <v>86</v>
      </c>
      <c r="I9" s="956"/>
      <c r="J9" s="957"/>
      <c r="K9" s="945" t="s">
        <v>87</v>
      </c>
    </row>
    <row r="10" spans="2:11" ht="30.75" customHeight="1" x14ac:dyDescent="0.25">
      <c r="B10" s="940"/>
      <c r="C10" s="941"/>
      <c r="D10" s="959"/>
      <c r="E10" s="953" t="s">
        <v>88</v>
      </c>
      <c r="F10" s="943" t="s">
        <v>89</v>
      </c>
      <c r="G10" s="944"/>
      <c r="H10" s="951" t="s">
        <v>90</v>
      </c>
      <c r="I10" s="951" t="s">
        <v>91</v>
      </c>
      <c r="J10" s="951" t="s">
        <v>92</v>
      </c>
      <c r="K10" s="946"/>
    </row>
    <row r="11" spans="2:11" ht="45" customHeight="1" thickBot="1" x14ac:dyDescent="0.3">
      <c r="B11" s="942"/>
      <c r="C11" s="941"/>
      <c r="D11" s="960"/>
      <c r="E11" s="954"/>
      <c r="F11" s="329" t="s">
        <v>93</v>
      </c>
      <c r="G11" s="330" t="s">
        <v>94</v>
      </c>
      <c r="H11" s="952"/>
      <c r="I11" s="952"/>
      <c r="J11" s="952"/>
      <c r="K11" s="947"/>
    </row>
    <row r="12" spans="2:11" ht="15.6" x14ac:dyDescent="0.25">
      <c r="B12" s="964" t="s">
        <v>95</v>
      </c>
      <c r="C12" s="325" t="s">
        <v>96</v>
      </c>
      <c r="D12" s="345">
        <v>1</v>
      </c>
      <c r="E12" s="334">
        <v>0.84599999999999997</v>
      </c>
      <c r="F12" s="335">
        <v>20</v>
      </c>
      <c r="G12" s="336">
        <f>F12*95%</f>
        <v>19</v>
      </c>
      <c r="H12" s="335">
        <v>42.3</v>
      </c>
      <c r="I12" s="336">
        <f>H12/0.95</f>
        <v>44.526315789473685</v>
      </c>
      <c r="J12" s="405">
        <f>((((H12/2.205)/1000)/0.9478)*1000)/0.95</f>
        <v>21.305486910838123</v>
      </c>
      <c r="K12" s="414">
        <v>1</v>
      </c>
    </row>
    <row r="13" spans="2:11" ht="15.6" x14ac:dyDescent="0.25">
      <c r="B13" s="962"/>
      <c r="C13" s="326" t="s">
        <v>97</v>
      </c>
      <c r="D13" s="346">
        <v>1</v>
      </c>
      <c r="E13" s="54">
        <v>0.57750000000000001</v>
      </c>
      <c r="F13" s="109">
        <v>21</v>
      </c>
      <c r="G13" s="318">
        <f t="shared" ref="G13:G43" si="0">F13*95%</f>
        <v>19.95</v>
      </c>
      <c r="H13" s="109">
        <v>27.5</v>
      </c>
      <c r="I13" s="318">
        <f>H13/0.95</f>
        <v>28.947368421052634</v>
      </c>
      <c r="J13" s="406">
        <f t="shared" ref="J13:J22" si="1">((((H13/2.205)/1000)/0.9478)*1000)/0.95</f>
        <v>13.851084871112256</v>
      </c>
      <c r="K13" s="416">
        <v>1</v>
      </c>
    </row>
    <row r="14" spans="2:11" ht="15.6" x14ac:dyDescent="0.25">
      <c r="B14" s="962"/>
      <c r="C14" s="326" t="s">
        <v>98</v>
      </c>
      <c r="D14" s="346">
        <v>1</v>
      </c>
      <c r="E14" s="54">
        <v>0.77349999999999997</v>
      </c>
      <c r="F14" s="109">
        <v>17.5</v>
      </c>
      <c r="G14" s="318">
        <f t="shared" si="0"/>
        <v>16.625</v>
      </c>
      <c r="H14" s="109">
        <v>44.2</v>
      </c>
      <c r="I14" s="318">
        <f t="shared" ref="I14:I64" si="2">H14/0.95</f>
        <v>46.526315789473692</v>
      </c>
      <c r="J14" s="406">
        <f t="shared" si="1"/>
        <v>22.262470956478609</v>
      </c>
      <c r="K14" s="416">
        <v>1</v>
      </c>
    </row>
    <row r="15" spans="2:11" ht="15.6" x14ac:dyDescent="0.25">
      <c r="B15" s="962"/>
      <c r="C15" s="326" t="s">
        <v>99</v>
      </c>
      <c r="D15" s="346">
        <v>1</v>
      </c>
      <c r="E15" s="54">
        <v>0.83726999999999985</v>
      </c>
      <c r="F15" s="109">
        <v>18.899999999999999</v>
      </c>
      <c r="G15" s="318">
        <f t="shared" si="0"/>
        <v>17.954999999999998</v>
      </c>
      <c r="H15" s="109">
        <v>44.3</v>
      </c>
      <c r="I15" s="318">
        <f t="shared" si="2"/>
        <v>46.631578947368418</v>
      </c>
      <c r="J15" s="406">
        <f t="shared" si="1"/>
        <v>22.312838537828107</v>
      </c>
      <c r="K15" s="416">
        <v>1</v>
      </c>
    </row>
    <row r="16" spans="2:11" ht="15.6" x14ac:dyDescent="0.25">
      <c r="B16" s="962"/>
      <c r="C16" s="326" t="s">
        <v>100</v>
      </c>
      <c r="D16" s="346">
        <v>1</v>
      </c>
      <c r="E16" s="54">
        <v>0.84613000000000005</v>
      </c>
      <c r="F16" s="109">
        <v>19.100000000000001</v>
      </c>
      <c r="G16" s="318">
        <f t="shared" si="0"/>
        <v>18.145</v>
      </c>
      <c r="H16" s="109">
        <v>44.3</v>
      </c>
      <c r="I16" s="318">
        <f t="shared" si="2"/>
        <v>46.631578947368418</v>
      </c>
      <c r="J16" s="406">
        <f t="shared" si="1"/>
        <v>22.312838537828107</v>
      </c>
      <c r="K16" s="416">
        <v>1</v>
      </c>
    </row>
    <row r="17" spans="2:11" ht="15.6" x14ac:dyDescent="0.25">
      <c r="B17" s="962"/>
      <c r="C17" s="326" t="s">
        <v>101</v>
      </c>
      <c r="D17" s="346">
        <v>1</v>
      </c>
      <c r="E17" s="54">
        <v>0.84613000000000005</v>
      </c>
      <c r="F17" s="109">
        <v>19.100000000000001</v>
      </c>
      <c r="G17" s="318">
        <f t="shared" si="0"/>
        <v>18.145</v>
      </c>
      <c r="H17" s="109">
        <v>44.3</v>
      </c>
      <c r="I17" s="318">
        <f t="shared" si="2"/>
        <v>46.631578947368418</v>
      </c>
      <c r="J17" s="406">
        <f t="shared" si="1"/>
        <v>22.312838537828107</v>
      </c>
      <c r="K17" s="416">
        <v>1</v>
      </c>
    </row>
    <row r="18" spans="2:11" ht="15.6" x14ac:dyDescent="0.25">
      <c r="B18" s="962"/>
      <c r="C18" s="326" t="s">
        <v>102</v>
      </c>
      <c r="D18" s="346">
        <v>1</v>
      </c>
      <c r="E18" s="54">
        <v>0.85994999999999999</v>
      </c>
      <c r="F18" s="109">
        <v>19.5</v>
      </c>
      <c r="G18" s="318">
        <f t="shared" si="0"/>
        <v>18.524999999999999</v>
      </c>
      <c r="H18" s="109">
        <v>44.1</v>
      </c>
      <c r="I18" s="318">
        <f t="shared" si="2"/>
        <v>46.421052631578952</v>
      </c>
      <c r="J18" s="406">
        <f t="shared" si="1"/>
        <v>22.212103375129111</v>
      </c>
      <c r="K18" s="416">
        <v>1</v>
      </c>
    </row>
    <row r="19" spans="2:11" ht="15.6" x14ac:dyDescent="0.25">
      <c r="B19" s="962"/>
      <c r="C19" s="326" t="s">
        <v>103</v>
      </c>
      <c r="D19" s="346">
        <v>1</v>
      </c>
      <c r="E19" s="54">
        <v>0.85848000000000002</v>
      </c>
      <c r="F19" s="109">
        <v>19.600000000000001</v>
      </c>
      <c r="G19" s="318">
        <f t="shared" si="0"/>
        <v>18.62</v>
      </c>
      <c r="H19" s="109">
        <v>43.8</v>
      </c>
      <c r="I19" s="318">
        <f t="shared" si="2"/>
        <v>46.105263157894733</v>
      </c>
      <c r="J19" s="406">
        <f t="shared" si="1"/>
        <v>22.061000631080606</v>
      </c>
      <c r="K19" s="416">
        <v>1</v>
      </c>
    </row>
    <row r="20" spans="2:11" ht="15.6" x14ac:dyDescent="0.25">
      <c r="B20" s="962"/>
      <c r="C20" s="326" t="s">
        <v>104</v>
      </c>
      <c r="D20" s="346">
        <v>1</v>
      </c>
      <c r="E20" s="54">
        <v>0.76200000000000001</v>
      </c>
      <c r="F20" s="109">
        <v>20</v>
      </c>
      <c r="G20" s="318">
        <f t="shared" si="0"/>
        <v>19</v>
      </c>
      <c r="H20" s="109">
        <v>38.1</v>
      </c>
      <c r="I20" s="318">
        <f t="shared" si="2"/>
        <v>40.10526315789474</v>
      </c>
      <c r="J20" s="406">
        <f t="shared" si="1"/>
        <v>19.190048494159164</v>
      </c>
      <c r="K20" s="416">
        <v>1</v>
      </c>
    </row>
    <row r="21" spans="2:11" ht="15.6" x14ac:dyDescent="0.25">
      <c r="B21" s="962"/>
      <c r="C21" s="327" t="s">
        <v>105</v>
      </c>
      <c r="D21" s="346">
        <v>1</v>
      </c>
      <c r="E21" s="54">
        <v>0.86860000000000004</v>
      </c>
      <c r="F21" s="109">
        <v>20.2</v>
      </c>
      <c r="G21" s="318">
        <f t="shared" si="0"/>
        <v>19.189999999999998</v>
      </c>
      <c r="H21" s="109">
        <v>43</v>
      </c>
      <c r="I21" s="318">
        <f t="shared" si="2"/>
        <v>45.263157894736842</v>
      </c>
      <c r="J21" s="406">
        <f t="shared" si="1"/>
        <v>21.658059980284619</v>
      </c>
      <c r="K21" s="416">
        <v>1</v>
      </c>
    </row>
    <row r="22" spans="2:11" ht="15.6" x14ac:dyDescent="0.25">
      <c r="B22" s="962"/>
      <c r="C22" s="327" t="s">
        <v>106</v>
      </c>
      <c r="D22" s="346">
        <v>1</v>
      </c>
      <c r="E22" s="54">
        <v>0.85244000000000009</v>
      </c>
      <c r="F22" s="109">
        <v>21.1</v>
      </c>
      <c r="G22" s="318">
        <f t="shared" si="0"/>
        <v>20.045000000000002</v>
      </c>
      <c r="H22" s="109">
        <v>40.4</v>
      </c>
      <c r="I22" s="318">
        <f t="shared" si="2"/>
        <v>42.526315789473685</v>
      </c>
      <c r="J22" s="406">
        <f t="shared" si="1"/>
        <v>20.348502865197638</v>
      </c>
      <c r="K22" s="416">
        <v>1</v>
      </c>
    </row>
    <row r="23" spans="2:11" ht="15.6" x14ac:dyDescent="0.25">
      <c r="B23" s="962"/>
      <c r="C23" s="327" t="s">
        <v>107</v>
      </c>
      <c r="D23" s="346">
        <v>1</v>
      </c>
      <c r="E23" s="54">
        <v>0.81355999999999995</v>
      </c>
      <c r="F23" s="109">
        <v>17.2</v>
      </c>
      <c r="G23" s="331">
        <f t="shared" si="0"/>
        <v>16.34</v>
      </c>
      <c r="H23" s="109">
        <v>47.3</v>
      </c>
      <c r="I23" s="318">
        <f>H23/0.95</f>
        <v>49.789473684210527</v>
      </c>
      <c r="J23" s="407">
        <f>((((H23/2.205)/1000)/0.9478)*1000)/0.95</f>
        <v>23.823865978313073</v>
      </c>
      <c r="K23" s="416">
        <v>1</v>
      </c>
    </row>
    <row r="24" spans="2:11" ht="15.6" x14ac:dyDescent="0.25">
      <c r="B24" s="962"/>
      <c r="C24" s="327" t="s">
        <v>108</v>
      </c>
      <c r="D24" s="346">
        <v>1</v>
      </c>
      <c r="E24" s="54">
        <v>0.77951999999999999</v>
      </c>
      <c r="F24" s="109">
        <v>16.8</v>
      </c>
      <c r="G24" s="331">
        <f t="shared" si="0"/>
        <v>15.959999999999999</v>
      </c>
      <c r="H24" s="109">
        <v>46.4</v>
      </c>
      <c r="I24" s="318">
        <f t="shared" si="2"/>
        <v>48.842105263157897</v>
      </c>
      <c r="J24" s="407">
        <f>((((H24/2.205)/1000)/0.9478)*1000)/0.95</f>
        <v>23.370557746167588</v>
      </c>
      <c r="K24" s="416">
        <v>1</v>
      </c>
    </row>
    <row r="25" spans="2:11" ht="15.6" x14ac:dyDescent="0.25">
      <c r="B25" s="962"/>
      <c r="C25" s="327" t="s">
        <v>109</v>
      </c>
      <c r="D25" s="346">
        <v>1</v>
      </c>
      <c r="E25" s="54">
        <v>0.89</v>
      </c>
      <c r="F25" s="109">
        <v>20</v>
      </c>
      <c r="G25" s="318">
        <f t="shared" si="0"/>
        <v>19</v>
      </c>
      <c r="H25" s="109">
        <v>44.5</v>
      </c>
      <c r="I25" s="318">
        <f t="shared" si="2"/>
        <v>46.842105263157897</v>
      </c>
      <c r="J25" s="406">
        <f t="shared" ref="J25:J44" si="3">((((H25/2.205)/1000)/0.9478)*1000)/0.95</f>
        <v>22.413573700527103</v>
      </c>
      <c r="K25" s="416">
        <v>1</v>
      </c>
    </row>
    <row r="26" spans="2:11" ht="15.6" x14ac:dyDescent="0.25">
      <c r="B26" s="962"/>
      <c r="C26" s="327" t="s">
        <v>110</v>
      </c>
      <c r="D26" s="346">
        <v>1</v>
      </c>
      <c r="E26" s="54">
        <v>0.88440000000000007</v>
      </c>
      <c r="F26" s="109">
        <v>22</v>
      </c>
      <c r="G26" s="318">
        <f t="shared" si="0"/>
        <v>20.9</v>
      </c>
      <c r="H26" s="109">
        <v>40.200000000000003</v>
      </c>
      <c r="I26" s="318">
        <f t="shared" si="2"/>
        <v>42.315789473684212</v>
      </c>
      <c r="J26" s="406">
        <f t="shared" si="3"/>
        <v>20.247767702498646</v>
      </c>
      <c r="K26" s="416">
        <v>1</v>
      </c>
    </row>
    <row r="27" spans="2:11" ht="15.6" x14ac:dyDescent="0.25">
      <c r="B27" s="962"/>
      <c r="C27" s="327" t="s">
        <v>111</v>
      </c>
      <c r="D27" s="346">
        <v>1</v>
      </c>
      <c r="E27" s="54">
        <v>0.80400000000000005</v>
      </c>
      <c r="F27" s="109">
        <v>20</v>
      </c>
      <c r="G27" s="318">
        <f t="shared" si="0"/>
        <v>19</v>
      </c>
      <c r="H27" s="109">
        <v>40.200000000000003</v>
      </c>
      <c r="I27" s="318">
        <f t="shared" si="2"/>
        <v>42.315789473684212</v>
      </c>
      <c r="J27" s="406">
        <f t="shared" si="3"/>
        <v>20.247767702498646</v>
      </c>
      <c r="K27" s="416">
        <v>1</v>
      </c>
    </row>
    <row r="28" spans="2:11" ht="15.6" x14ac:dyDescent="0.25">
      <c r="B28" s="962"/>
      <c r="C28" s="327" t="s">
        <v>112</v>
      </c>
      <c r="D28" s="346">
        <v>1</v>
      </c>
      <c r="E28" s="54">
        <v>0.86450000000000005</v>
      </c>
      <c r="F28" s="109">
        <v>26.6</v>
      </c>
      <c r="G28" s="318">
        <f t="shared" si="0"/>
        <v>25.27</v>
      </c>
      <c r="H28" s="109">
        <v>32.5</v>
      </c>
      <c r="I28" s="318">
        <f t="shared" si="2"/>
        <v>34.210526315789473</v>
      </c>
      <c r="J28" s="406">
        <f t="shared" si="3"/>
        <v>16.369463938587209</v>
      </c>
      <c r="K28" s="416">
        <v>1</v>
      </c>
    </row>
    <row r="29" spans="2:11" ht="15.6" x14ac:dyDescent="0.25">
      <c r="B29" s="962"/>
      <c r="C29" s="327" t="s">
        <v>113</v>
      </c>
      <c r="D29" s="346">
        <v>1</v>
      </c>
      <c r="E29" s="54">
        <v>0.86</v>
      </c>
      <c r="F29" s="109">
        <v>20</v>
      </c>
      <c r="G29" s="318">
        <f t="shared" si="0"/>
        <v>19</v>
      </c>
      <c r="H29" s="109">
        <v>43</v>
      </c>
      <c r="I29" s="318">
        <f t="shared" si="2"/>
        <v>45.263157894736842</v>
      </c>
      <c r="J29" s="406">
        <f t="shared" si="3"/>
        <v>21.658059980284619</v>
      </c>
      <c r="K29" s="416">
        <v>1</v>
      </c>
    </row>
    <row r="30" spans="2:11" ht="15.6" x14ac:dyDescent="0.25">
      <c r="B30" s="962"/>
      <c r="C30" s="327" t="s">
        <v>114</v>
      </c>
      <c r="D30" s="346">
        <v>1</v>
      </c>
      <c r="E30" s="54">
        <v>0.77715000000000001</v>
      </c>
      <c r="F30" s="109">
        <v>15.7</v>
      </c>
      <c r="G30" s="395">
        <f>F30*95%</f>
        <v>14.914999999999999</v>
      </c>
      <c r="H30" s="343">
        <v>49.5</v>
      </c>
      <c r="I30" s="395">
        <f>H30/0.95</f>
        <v>52.10526315789474</v>
      </c>
      <c r="J30" s="408">
        <f>((((H30/2.205)/1000)/0.9478)*1000)/0.95</f>
        <v>24.931952768002063</v>
      </c>
      <c r="K30" s="416">
        <v>1</v>
      </c>
    </row>
    <row r="31" spans="2:11" ht="15.6" x14ac:dyDescent="0.25">
      <c r="B31" s="962"/>
      <c r="C31" s="327" t="s">
        <v>115</v>
      </c>
      <c r="D31" s="346">
        <v>1</v>
      </c>
      <c r="E31" s="54">
        <v>0.80400000000000005</v>
      </c>
      <c r="F31" s="109">
        <v>20</v>
      </c>
      <c r="G31" s="318">
        <f t="shared" si="0"/>
        <v>19</v>
      </c>
      <c r="H31" s="109">
        <v>40.200000000000003</v>
      </c>
      <c r="I31" s="318">
        <f t="shared" si="2"/>
        <v>42.315789473684212</v>
      </c>
      <c r="J31" s="406">
        <f t="shared" si="3"/>
        <v>20.247767702498646</v>
      </c>
      <c r="K31" s="416">
        <v>1</v>
      </c>
    </row>
    <row r="32" spans="2:11" ht="15.6" x14ac:dyDescent="0.25">
      <c r="B32" s="962"/>
      <c r="C32" s="327" t="s">
        <v>116</v>
      </c>
      <c r="D32" s="346">
        <v>1</v>
      </c>
      <c r="E32" s="54">
        <v>0.80400000000000005</v>
      </c>
      <c r="F32" s="109">
        <v>20</v>
      </c>
      <c r="G32" s="318">
        <f t="shared" si="0"/>
        <v>19</v>
      </c>
      <c r="H32" s="109">
        <v>40.200000000000003</v>
      </c>
      <c r="I32" s="318">
        <f t="shared" si="2"/>
        <v>42.315789473684212</v>
      </c>
      <c r="J32" s="406">
        <f t="shared" si="3"/>
        <v>20.247767702498646</v>
      </c>
      <c r="K32" s="416">
        <v>1</v>
      </c>
    </row>
    <row r="33" spans="2:11" ht="16.2" thickBot="1" x14ac:dyDescent="0.3">
      <c r="B33" s="962"/>
      <c r="C33" s="400" t="s">
        <v>117</v>
      </c>
      <c r="D33" s="365">
        <v>1</v>
      </c>
      <c r="E33" s="366">
        <v>0.80400000000000005</v>
      </c>
      <c r="F33" s="367">
        <v>20</v>
      </c>
      <c r="G33" s="368">
        <f t="shared" si="0"/>
        <v>19</v>
      </c>
      <c r="H33" s="367">
        <v>40.200000000000003</v>
      </c>
      <c r="I33" s="368">
        <f t="shared" si="2"/>
        <v>42.315789473684212</v>
      </c>
      <c r="J33" s="409">
        <f t="shared" si="3"/>
        <v>20.247767702498646</v>
      </c>
      <c r="K33" s="418">
        <v>1</v>
      </c>
    </row>
    <row r="34" spans="2:11" ht="15.6" x14ac:dyDescent="0.25">
      <c r="B34" s="964" t="s">
        <v>118</v>
      </c>
      <c r="C34" s="325" t="s">
        <v>119</v>
      </c>
      <c r="D34" s="345">
        <v>1</v>
      </c>
      <c r="E34" s="334">
        <v>0.71555999999999997</v>
      </c>
      <c r="F34" s="335">
        <v>26.8</v>
      </c>
      <c r="G34" s="336">
        <f t="shared" si="0"/>
        <v>25.46</v>
      </c>
      <c r="H34" s="335">
        <v>26.7</v>
      </c>
      <c r="I34" s="336">
        <f t="shared" si="2"/>
        <v>28.105263157894736</v>
      </c>
      <c r="J34" s="405">
        <f t="shared" si="3"/>
        <v>13.448144220316264</v>
      </c>
      <c r="K34" s="414">
        <v>1</v>
      </c>
    </row>
    <row r="35" spans="2:11" ht="15.6" x14ac:dyDescent="0.25">
      <c r="B35" s="962"/>
      <c r="C35" s="327" t="s">
        <v>62</v>
      </c>
      <c r="D35" s="346">
        <v>1</v>
      </c>
      <c r="E35" s="54">
        <v>0.72755999999999998</v>
      </c>
      <c r="F35" s="109">
        <v>25.8</v>
      </c>
      <c r="G35" s="318">
        <f t="shared" si="0"/>
        <v>24.509999999999998</v>
      </c>
      <c r="H35" s="109">
        <v>28.2</v>
      </c>
      <c r="I35" s="318">
        <f t="shared" si="2"/>
        <v>29.684210526315791</v>
      </c>
      <c r="J35" s="406">
        <f t="shared" si="3"/>
        <v>14.203657940558751</v>
      </c>
      <c r="K35" s="416">
        <v>1</v>
      </c>
    </row>
    <row r="36" spans="2:11" ht="15.6" x14ac:dyDescent="0.25">
      <c r="B36" s="962"/>
      <c r="C36" s="326" t="s">
        <v>120</v>
      </c>
      <c r="D36" s="346">
        <v>1</v>
      </c>
      <c r="E36" s="54">
        <v>0.66564000000000001</v>
      </c>
      <c r="F36" s="109">
        <v>25.8</v>
      </c>
      <c r="G36" s="318">
        <f t="shared" si="0"/>
        <v>24.509999999999998</v>
      </c>
      <c r="H36" s="109">
        <v>25.8</v>
      </c>
      <c r="I36" s="318">
        <f t="shared" si="2"/>
        <v>27.157894736842106</v>
      </c>
      <c r="J36" s="406">
        <f t="shared" si="3"/>
        <v>12.994835988170772</v>
      </c>
      <c r="K36" s="416">
        <v>1</v>
      </c>
    </row>
    <row r="37" spans="2:11" ht="15.6" x14ac:dyDescent="0.25">
      <c r="B37" s="962"/>
      <c r="C37" s="326" t="s">
        <v>121</v>
      </c>
      <c r="D37" s="346">
        <v>1</v>
      </c>
      <c r="E37" s="54">
        <v>0.49517999999999995</v>
      </c>
      <c r="F37" s="109">
        <v>26.2</v>
      </c>
      <c r="G37" s="318">
        <f t="shared" si="0"/>
        <v>24.889999999999997</v>
      </c>
      <c r="H37" s="109">
        <v>18.899999999999999</v>
      </c>
      <c r="I37" s="318">
        <f t="shared" si="2"/>
        <v>19.894736842105264</v>
      </c>
      <c r="J37" s="406">
        <f t="shared" si="3"/>
        <v>9.5194728750553317</v>
      </c>
      <c r="K37" s="416">
        <v>1</v>
      </c>
    </row>
    <row r="38" spans="2:11" ht="15.6" x14ac:dyDescent="0.25">
      <c r="B38" s="962"/>
      <c r="C38" s="326" t="s">
        <v>122</v>
      </c>
      <c r="D38" s="346">
        <v>1</v>
      </c>
      <c r="E38" s="54">
        <v>0.32844000000000007</v>
      </c>
      <c r="F38" s="109">
        <v>27.6</v>
      </c>
      <c r="G38" s="318">
        <f t="shared" si="0"/>
        <v>26.22</v>
      </c>
      <c r="H38" s="109">
        <v>11.9</v>
      </c>
      <c r="I38" s="318">
        <f t="shared" si="2"/>
        <v>12.526315789473685</v>
      </c>
      <c r="J38" s="406">
        <f t="shared" si="3"/>
        <v>5.9937421805903952</v>
      </c>
      <c r="K38" s="416">
        <v>1</v>
      </c>
    </row>
    <row r="39" spans="2:11" ht="15.6" x14ac:dyDescent="0.25">
      <c r="B39" s="962"/>
      <c r="C39" s="326" t="s">
        <v>123</v>
      </c>
      <c r="D39" s="346">
        <v>1</v>
      </c>
      <c r="E39" s="54">
        <v>0.25899</v>
      </c>
      <c r="F39" s="109">
        <v>29.1</v>
      </c>
      <c r="G39" s="318">
        <f t="shared" si="0"/>
        <v>27.645</v>
      </c>
      <c r="H39" s="109">
        <v>8.9</v>
      </c>
      <c r="I39" s="318">
        <f t="shared" si="2"/>
        <v>9.3684210526315805</v>
      </c>
      <c r="J39" s="406">
        <f t="shared" si="3"/>
        <v>4.482714740105421</v>
      </c>
      <c r="K39" s="416">
        <v>1</v>
      </c>
    </row>
    <row r="40" spans="2:11" ht="15.6" x14ac:dyDescent="0.25">
      <c r="B40" s="962"/>
      <c r="C40" s="326" t="s">
        <v>124</v>
      </c>
      <c r="D40" s="346">
        <v>1</v>
      </c>
      <c r="E40" s="54">
        <v>0.55062</v>
      </c>
      <c r="F40" s="109">
        <v>26.6</v>
      </c>
      <c r="G40" s="318">
        <f t="shared" si="0"/>
        <v>25.27</v>
      </c>
      <c r="H40" s="109">
        <v>20.7</v>
      </c>
      <c r="I40" s="318">
        <f t="shared" si="2"/>
        <v>21.789473684210527</v>
      </c>
      <c r="J40" s="406">
        <f t="shared" si="3"/>
        <v>10.426089339346316</v>
      </c>
      <c r="K40" s="416">
        <v>1</v>
      </c>
    </row>
    <row r="41" spans="2:11" ht="15.6" x14ac:dyDescent="0.25">
      <c r="B41" s="962"/>
      <c r="C41" s="326" t="s">
        <v>125</v>
      </c>
      <c r="D41" s="346">
        <v>1</v>
      </c>
      <c r="E41" s="54">
        <v>0.55062</v>
      </c>
      <c r="F41" s="109">
        <v>26.6</v>
      </c>
      <c r="G41" s="318">
        <f t="shared" si="0"/>
        <v>25.27</v>
      </c>
      <c r="H41" s="109">
        <v>20.7</v>
      </c>
      <c r="I41" s="318">
        <f t="shared" si="2"/>
        <v>21.789473684210527</v>
      </c>
      <c r="J41" s="406">
        <f t="shared" si="3"/>
        <v>10.426089339346316</v>
      </c>
      <c r="K41" s="416">
        <v>1</v>
      </c>
    </row>
    <row r="42" spans="2:11" ht="15.6" x14ac:dyDescent="0.25">
      <c r="B42" s="962"/>
      <c r="C42" s="327" t="s">
        <v>126</v>
      </c>
      <c r="D42" s="346">
        <v>1</v>
      </c>
      <c r="E42" s="54">
        <v>0.82343999999999995</v>
      </c>
      <c r="F42" s="109">
        <v>29.2</v>
      </c>
      <c r="G42" s="318">
        <f t="shared" si="0"/>
        <v>27.74</v>
      </c>
      <c r="H42" s="109">
        <v>28.2</v>
      </c>
      <c r="I42" s="318">
        <f t="shared" si="2"/>
        <v>29.684210526315791</v>
      </c>
      <c r="J42" s="406">
        <f t="shared" si="3"/>
        <v>14.203657940558751</v>
      </c>
      <c r="K42" s="416">
        <v>1</v>
      </c>
    </row>
    <row r="43" spans="2:11" ht="15.6" x14ac:dyDescent="0.25">
      <c r="B43" s="962"/>
      <c r="C43" s="326" t="s">
        <v>127</v>
      </c>
      <c r="D43" s="346">
        <v>1</v>
      </c>
      <c r="E43" s="54">
        <v>0.82343999999999995</v>
      </c>
      <c r="F43" s="109">
        <v>29.2</v>
      </c>
      <c r="G43" s="318">
        <f t="shared" si="0"/>
        <v>27.74</v>
      </c>
      <c r="H43" s="109">
        <v>28.2</v>
      </c>
      <c r="I43" s="318">
        <f t="shared" si="2"/>
        <v>29.684210526315791</v>
      </c>
      <c r="J43" s="406">
        <f t="shared" si="3"/>
        <v>14.203657940558751</v>
      </c>
      <c r="K43" s="416">
        <v>1</v>
      </c>
    </row>
    <row r="44" spans="2:11" ht="15.6" x14ac:dyDescent="0.25">
      <c r="B44" s="962"/>
      <c r="C44" s="327" t="s">
        <v>128</v>
      </c>
      <c r="D44" s="346">
        <v>1</v>
      </c>
      <c r="E44" s="54">
        <v>0.61599999999999999</v>
      </c>
      <c r="F44" s="109">
        <v>22</v>
      </c>
      <c r="G44" s="318">
        <f>F44*95%</f>
        <v>20.9</v>
      </c>
      <c r="H44" s="109">
        <v>28</v>
      </c>
      <c r="I44" s="318">
        <f t="shared" si="2"/>
        <v>29.473684210526319</v>
      </c>
      <c r="J44" s="406">
        <f t="shared" si="3"/>
        <v>14.102922777859751</v>
      </c>
      <c r="K44" s="416">
        <v>1</v>
      </c>
    </row>
    <row r="45" spans="2:11" ht="15.6" x14ac:dyDescent="0.25">
      <c r="B45" s="962"/>
      <c r="C45" s="327" t="s">
        <v>129</v>
      </c>
      <c r="D45" s="401">
        <v>2</v>
      </c>
      <c r="E45" s="54">
        <v>0.46827000000000002</v>
      </c>
      <c r="F45" s="109">
        <v>12.1</v>
      </c>
      <c r="G45" s="318">
        <f>F45*90%</f>
        <v>10.89</v>
      </c>
      <c r="H45" s="109">
        <v>38.700000000000003</v>
      </c>
      <c r="I45" s="318">
        <f>H45/0.9</f>
        <v>43</v>
      </c>
      <c r="J45" s="406">
        <f>((((H45/2.205)/1000)/0.9478)*1000)/0.9</f>
        <v>20.575156981270386</v>
      </c>
      <c r="K45" s="416">
        <v>1</v>
      </c>
    </row>
    <row r="46" spans="2:11" ht="15.6" x14ac:dyDescent="0.25">
      <c r="B46" s="962"/>
      <c r="C46" s="327" t="s">
        <v>130</v>
      </c>
      <c r="D46" s="401">
        <v>2</v>
      </c>
      <c r="E46" s="54">
        <v>0.46827000000000002</v>
      </c>
      <c r="F46" s="109">
        <v>12.1</v>
      </c>
      <c r="G46" s="318">
        <f t="shared" ref="G46:G49" si="4">F46*90%</f>
        <v>10.89</v>
      </c>
      <c r="H46" s="109">
        <v>38.700000000000003</v>
      </c>
      <c r="I46" s="318">
        <f>H46/0.9</f>
        <v>43</v>
      </c>
      <c r="J46" s="406">
        <f>((((H46/2.205)/1000)/0.9478)*1000)/0.9</f>
        <v>20.575156981270386</v>
      </c>
      <c r="K46" s="416">
        <v>1</v>
      </c>
    </row>
    <row r="47" spans="2:11" ht="15.6" x14ac:dyDescent="0.25">
      <c r="B47" s="962"/>
      <c r="C47" s="327" t="s">
        <v>131</v>
      </c>
      <c r="D47" s="401">
        <v>2</v>
      </c>
      <c r="E47" s="54">
        <v>0.174876</v>
      </c>
      <c r="F47" s="109">
        <v>70.8</v>
      </c>
      <c r="G47" s="318">
        <f t="shared" si="4"/>
        <v>63.72</v>
      </c>
      <c r="H47" s="109">
        <v>2.4700000000000002</v>
      </c>
      <c r="I47" s="318">
        <f>H47/0.9</f>
        <v>2.7444444444444445</v>
      </c>
      <c r="J47" s="406">
        <f>((((H47/2.205)/1000)/0.9478)*1000)/0.9</f>
        <v>1.3131947737399963</v>
      </c>
      <c r="K47" s="416">
        <v>1</v>
      </c>
    </row>
    <row r="48" spans="2:11" ht="16.2" thickBot="1" x14ac:dyDescent="0.3">
      <c r="B48" s="962"/>
      <c r="C48" s="400" t="s">
        <v>132</v>
      </c>
      <c r="D48" s="402">
        <v>2</v>
      </c>
      <c r="E48" s="366">
        <v>0.35017599999999999</v>
      </c>
      <c r="F48" s="367">
        <v>49.6</v>
      </c>
      <c r="G48" s="368">
        <f t="shared" si="4"/>
        <v>44.64</v>
      </c>
      <c r="H48" s="367">
        <v>7.06</v>
      </c>
      <c r="I48" s="368">
        <f>H48/0.9</f>
        <v>7.8444444444444441</v>
      </c>
      <c r="J48" s="409">
        <f>((((H48/2.205)/1000)/0.9478)*1000)/0.9</f>
        <v>3.7535040901232284</v>
      </c>
      <c r="K48" s="417">
        <v>1</v>
      </c>
    </row>
    <row r="49" spans="2:11" ht="16.2" thickBot="1" x14ac:dyDescent="0.3">
      <c r="B49" s="373" t="s">
        <v>133</v>
      </c>
      <c r="C49" s="374" t="s">
        <v>134</v>
      </c>
      <c r="D49" s="403">
        <v>2</v>
      </c>
      <c r="E49" s="376">
        <v>0.73440000000000005</v>
      </c>
      <c r="F49" s="377">
        <v>15.3</v>
      </c>
      <c r="G49" s="378">
        <f t="shared" si="4"/>
        <v>13.770000000000001</v>
      </c>
      <c r="H49" s="377">
        <v>48</v>
      </c>
      <c r="I49" s="378">
        <f>H49/0.9</f>
        <v>53.333333333333329</v>
      </c>
      <c r="J49" s="410">
        <f>((((H49/2.205)/1000)/0.9478)*1000)/0.9</f>
        <v>25.51957455041288</v>
      </c>
      <c r="K49" s="415">
        <v>1</v>
      </c>
    </row>
    <row r="50" spans="2:11" ht="15.6" x14ac:dyDescent="0.25">
      <c r="B50" s="965" t="s">
        <v>135</v>
      </c>
      <c r="C50" s="325" t="s">
        <v>136</v>
      </c>
      <c r="D50" s="345">
        <v>1</v>
      </c>
      <c r="E50" s="334">
        <v>0.25</v>
      </c>
      <c r="F50" s="335">
        <v>25</v>
      </c>
      <c r="G50" s="336">
        <f t="shared" ref="G50:G60" si="5">F50*95%</f>
        <v>23.75</v>
      </c>
      <c r="H50" s="335">
        <v>10</v>
      </c>
      <c r="I50" s="336">
        <f t="shared" si="2"/>
        <v>10.526315789473685</v>
      </c>
      <c r="J50" s="405">
        <f>((((H50/2.205)/1000)/0.9478)*1000)/0.95</f>
        <v>5.0367581349499115</v>
      </c>
      <c r="K50" s="419">
        <v>1</v>
      </c>
    </row>
    <row r="51" spans="2:11" ht="15.6" x14ac:dyDescent="0.25">
      <c r="B51" s="966"/>
      <c r="C51" s="326" t="s">
        <v>137</v>
      </c>
      <c r="D51" s="346">
        <v>1</v>
      </c>
      <c r="E51" s="337" t="s">
        <v>138</v>
      </c>
      <c r="F51" s="109">
        <v>39</v>
      </c>
      <c r="G51" s="332" t="s">
        <v>138</v>
      </c>
      <c r="H51" s="292" t="s">
        <v>138</v>
      </c>
      <c r="I51" s="333" t="s">
        <v>138</v>
      </c>
      <c r="J51" s="411" t="s">
        <v>138</v>
      </c>
      <c r="K51" s="416">
        <v>1</v>
      </c>
    </row>
    <row r="52" spans="2:11" ht="16.2" thickBot="1" x14ac:dyDescent="0.3">
      <c r="B52" s="967"/>
      <c r="C52" s="328" t="s">
        <v>139</v>
      </c>
      <c r="D52" s="347">
        <v>1</v>
      </c>
      <c r="E52" s="338">
        <v>0.80400000000000005</v>
      </c>
      <c r="F52" s="110">
        <v>20</v>
      </c>
      <c r="G52" s="340">
        <f>F52*95%</f>
        <v>19</v>
      </c>
      <c r="H52" s="110">
        <v>40.200000000000003</v>
      </c>
      <c r="I52" s="340">
        <f t="shared" si="2"/>
        <v>42.315789473684212</v>
      </c>
      <c r="J52" s="412">
        <f t="shared" ref="J52:J60" si="6">((((H52/2.205)/1000)/0.9478)*1000)/0.95</f>
        <v>20.247767702498646</v>
      </c>
      <c r="K52" s="418">
        <v>1</v>
      </c>
    </row>
    <row r="53" spans="2:11" ht="16.2" thickBot="1" x14ac:dyDescent="0.3">
      <c r="B53" s="373" t="s">
        <v>140</v>
      </c>
      <c r="C53" s="374" t="s">
        <v>140</v>
      </c>
      <c r="D53" s="375">
        <v>1</v>
      </c>
      <c r="E53" s="376">
        <v>0.28206399999999998</v>
      </c>
      <c r="F53" s="377">
        <v>28.9</v>
      </c>
      <c r="G53" s="378">
        <v>27.454999999999998</v>
      </c>
      <c r="H53" s="377">
        <v>9.76</v>
      </c>
      <c r="I53" s="378">
        <f t="shared" si="2"/>
        <v>10.273684210526316</v>
      </c>
      <c r="J53" s="410">
        <f t="shared" si="6"/>
        <v>4.9158759397111123</v>
      </c>
      <c r="K53" s="415">
        <v>1</v>
      </c>
    </row>
    <row r="54" spans="2:11" ht="15.6" x14ac:dyDescent="0.25">
      <c r="B54" s="961" t="s">
        <v>141</v>
      </c>
      <c r="C54" s="369" t="s">
        <v>142</v>
      </c>
      <c r="D54" s="370">
        <v>1</v>
      </c>
      <c r="E54" s="371">
        <v>0.4758</v>
      </c>
      <c r="F54" s="237">
        <v>30.5</v>
      </c>
      <c r="G54" s="372">
        <f t="shared" si="5"/>
        <v>28.974999999999998</v>
      </c>
      <c r="H54" s="237">
        <v>15.6</v>
      </c>
      <c r="I54" s="372">
        <f t="shared" si="2"/>
        <v>16.421052631578949</v>
      </c>
      <c r="J54" s="413">
        <f t="shared" si="6"/>
        <v>7.857342690521862</v>
      </c>
      <c r="K54" s="419">
        <v>1</v>
      </c>
    </row>
    <row r="55" spans="2:11" ht="15.6" x14ac:dyDescent="0.25">
      <c r="B55" s="962"/>
      <c r="C55" s="326" t="s">
        <v>143</v>
      </c>
      <c r="D55" s="346">
        <v>1</v>
      </c>
      <c r="E55" s="54">
        <v>0.30680000000000002</v>
      </c>
      <c r="F55" s="109">
        <v>26</v>
      </c>
      <c r="G55" s="318">
        <f t="shared" si="5"/>
        <v>24.7</v>
      </c>
      <c r="H55" s="109">
        <v>11.8</v>
      </c>
      <c r="I55" s="318">
        <f t="shared" si="2"/>
        <v>12.421052631578949</v>
      </c>
      <c r="J55" s="406">
        <f t="shared" si="6"/>
        <v>5.9433745992408955</v>
      </c>
      <c r="K55" s="416">
        <v>1</v>
      </c>
    </row>
    <row r="56" spans="2:11" ht="15.6" x14ac:dyDescent="0.25">
      <c r="B56" s="962"/>
      <c r="C56" s="326" t="s">
        <v>144</v>
      </c>
      <c r="D56" s="346">
        <v>1</v>
      </c>
      <c r="E56" s="54">
        <v>0.31668000000000002</v>
      </c>
      <c r="F56" s="109">
        <v>27.3</v>
      </c>
      <c r="G56" s="318">
        <f t="shared" si="5"/>
        <v>25.934999999999999</v>
      </c>
      <c r="H56" s="109">
        <v>11.6</v>
      </c>
      <c r="I56" s="318">
        <f t="shared" si="2"/>
        <v>12.210526315789474</v>
      </c>
      <c r="J56" s="406">
        <f t="shared" si="6"/>
        <v>5.842639436541897</v>
      </c>
      <c r="K56" s="416">
        <v>1</v>
      </c>
    </row>
    <row r="57" spans="2:11" ht="15.6" x14ac:dyDescent="0.25">
      <c r="B57" s="962"/>
      <c r="C57" s="326" t="s">
        <v>145</v>
      </c>
      <c r="D57" s="346">
        <v>1</v>
      </c>
      <c r="E57" s="54">
        <v>0.89975000000000005</v>
      </c>
      <c r="F57" s="109">
        <v>30.5</v>
      </c>
      <c r="G57" s="318">
        <f t="shared" si="5"/>
        <v>28.974999999999998</v>
      </c>
      <c r="H57" s="109">
        <v>29.5</v>
      </c>
      <c r="I57" s="318">
        <f t="shared" si="2"/>
        <v>31.05263157894737</v>
      </c>
      <c r="J57" s="406">
        <f t="shared" si="6"/>
        <v>14.858436498102236</v>
      </c>
      <c r="K57" s="416">
        <v>1</v>
      </c>
    </row>
    <row r="58" spans="2:11" ht="15.6" x14ac:dyDescent="0.25">
      <c r="B58" s="962"/>
      <c r="C58" s="326" t="s">
        <v>146</v>
      </c>
      <c r="D58" s="346">
        <v>1</v>
      </c>
      <c r="E58" s="54">
        <v>0.52110000000000001</v>
      </c>
      <c r="F58" s="109">
        <v>19.3</v>
      </c>
      <c r="G58" s="318">
        <f t="shared" si="5"/>
        <v>18.335000000000001</v>
      </c>
      <c r="H58" s="109">
        <v>27</v>
      </c>
      <c r="I58" s="318">
        <f t="shared" si="2"/>
        <v>28.421052631578949</v>
      </c>
      <c r="J58" s="406">
        <f t="shared" si="6"/>
        <v>13.59924696436476</v>
      </c>
      <c r="K58" s="416">
        <v>1</v>
      </c>
    </row>
    <row r="59" spans="2:11" ht="15.6" x14ac:dyDescent="0.25">
      <c r="B59" s="962"/>
      <c r="C59" s="326" t="s">
        <v>147</v>
      </c>
      <c r="D59" s="346">
        <v>1</v>
      </c>
      <c r="E59" s="54">
        <v>0.52110000000000001</v>
      </c>
      <c r="F59" s="109">
        <v>19.3</v>
      </c>
      <c r="G59" s="318">
        <f t="shared" si="5"/>
        <v>18.335000000000001</v>
      </c>
      <c r="H59" s="109">
        <v>27</v>
      </c>
      <c r="I59" s="318">
        <f t="shared" si="2"/>
        <v>28.421052631578949</v>
      </c>
      <c r="J59" s="406">
        <f t="shared" si="6"/>
        <v>13.59924696436476</v>
      </c>
      <c r="K59" s="416">
        <v>1</v>
      </c>
    </row>
    <row r="60" spans="2:11" ht="15.6" x14ac:dyDescent="0.25">
      <c r="B60" s="962"/>
      <c r="C60" s="326" t="s">
        <v>148</v>
      </c>
      <c r="D60" s="346">
        <v>1</v>
      </c>
      <c r="E60" s="54">
        <v>0.59457999999999989</v>
      </c>
      <c r="F60" s="109">
        <v>21.7</v>
      </c>
      <c r="G60" s="318">
        <f t="shared" si="5"/>
        <v>20.614999999999998</v>
      </c>
      <c r="H60" s="109">
        <v>27.4</v>
      </c>
      <c r="I60" s="318">
        <f t="shared" si="2"/>
        <v>28.842105263157894</v>
      </c>
      <c r="J60" s="406">
        <f t="shared" si="6"/>
        <v>13.800717289762757</v>
      </c>
      <c r="K60" s="416">
        <v>1</v>
      </c>
    </row>
    <row r="61" spans="2:11" ht="15.6" x14ac:dyDescent="0.25">
      <c r="B61" s="962"/>
      <c r="C61" s="326" t="s">
        <v>76</v>
      </c>
      <c r="D61" s="346">
        <v>2</v>
      </c>
      <c r="E61" s="54">
        <v>0.75096000000000007</v>
      </c>
      <c r="F61" s="109">
        <v>14.9</v>
      </c>
      <c r="G61" s="318">
        <f t="shared" ref="G61:G63" si="7">F61*90%</f>
        <v>13.41</v>
      </c>
      <c r="H61" s="109">
        <v>50.4</v>
      </c>
      <c r="I61" s="318">
        <f>H61/0.9</f>
        <v>56</v>
      </c>
      <c r="J61" s="406">
        <f>((((H61/2.205)/1000)/0.9478)*1000)/0.9</f>
        <v>26.795553277933525</v>
      </c>
      <c r="K61" s="416">
        <v>1</v>
      </c>
    </row>
    <row r="62" spans="2:11" ht="15.6" x14ac:dyDescent="0.25">
      <c r="B62" s="962"/>
      <c r="C62" s="326" t="s">
        <v>149</v>
      </c>
      <c r="D62" s="346">
        <v>2</v>
      </c>
      <c r="E62" s="54">
        <v>0.75096000000000007</v>
      </c>
      <c r="F62" s="109">
        <v>14.9</v>
      </c>
      <c r="G62" s="318">
        <f t="shared" si="7"/>
        <v>13.41</v>
      </c>
      <c r="H62" s="109">
        <v>50.4</v>
      </c>
      <c r="I62" s="318">
        <f>H62/0.9</f>
        <v>56</v>
      </c>
      <c r="J62" s="406">
        <f>((((H62/2.205)/1000)/0.9478)*1000)/0.9</f>
        <v>26.795553277933525</v>
      </c>
      <c r="K62" s="416">
        <v>1</v>
      </c>
    </row>
    <row r="63" spans="2:11" ht="15.6" x14ac:dyDescent="0.25">
      <c r="B63" s="962"/>
      <c r="C63" s="326" t="s">
        <v>150</v>
      </c>
      <c r="D63" s="346">
        <v>2</v>
      </c>
      <c r="E63" s="54">
        <v>0.75096000000000007</v>
      </c>
      <c r="F63" s="109">
        <v>14.9</v>
      </c>
      <c r="G63" s="318">
        <f t="shared" si="7"/>
        <v>13.41</v>
      </c>
      <c r="H63" s="109">
        <v>50.4</v>
      </c>
      <c r="I63" s="318">
        <f>H63/0.9</f>
        <v>56</v>
      </c>
      <c r="J63" s="406">
        <f>((((H63/2.205)/1000)/0.9478)*1000)/0.9</f>
        <v>26.795553277933525</v>
      </c>
      <c r="K63" s="416">
        <v>1</v>
      </c>
    </row>
    <row r="64" spans="2:11" ht="16.2" thickBot="1" x14ac:dyDescent="0.3">
      <c r="B64" s="963"/>
      <c r="C64" s="328" t="s">
        <v>151</v>
      </c>
      <c r="D64" s="347">
        <v>1</v>
      </c>
      <c r="E64" s="338">
        <v>0.31668000000000002</v>
      </c>
      <c r="F64" s="110">
        <v>27.3</v>
      </c>
      <c r="G64" s="339">
        <f t="shared" ref="G64" si="8">F64*95%</f>
        <v>25.934999999999999</v>
      </c>
      <c r="H64" s="110">
        <v>11.6</v>
      </c>
      <c r="I64" s="340">
        <f t="shared" si="2"/>
        <v>12.210526315789474</v>
      </c>
      <c r="J64" s="412">
        <f>((((H64/2.205)/1000)/0.9478)*1000)/0.95</f>
        <v>5.842639436541897</v>
      </c>
      <c r="K64" s="417">
        <v>1</v>
      </c>
    </row>
    <row r="65" spans="2:14" ht="15.6" x14ac:dyDescent="0.25">
      <c r="B65" s="238" t="s">
        <v>152</v>
      </c>
      <c r="D65"/>
    </row>
    <row r="66" spans="2:14" ht="18" customHeight="1" x14ac:dyDescent="0.25">
      <c r="B66" s="238" t="s">
        <v>153</v>
      </c>
      <c r="D66"/>
    </row>
    <row r="67" spans="2:14" s="116" customFormat="1" ht="15.6" x14ac:dyDescent="0.25">
      <c r="B67" s="158" t="s">
        <v>154</v>
      </c>
      <c r="D67" s="157"/>
    </row>
    <row r="68" spans="2:14" ht="23.25" customHeight="1" x14ac:dyDescent="0.25">
      <c r="B68" s="968" t="s">
        <v>155</v>
      </c>
      <c r="C68" s="968"/>
      <c r="D68" s="968"/>
      <c r="E68" s="968"/>
      <c r="F68" s="968"/>
      <c r="G68" s="968"/>
      <c r="H68" s="968"/>
      <c r="I68" s="968"/>
      <c r="J68" s="968"/>
      <c r="K68" s="968"/>
      <c r="L68" s="968"/>
      <c r="M68" s="968"/>
      <c r="N68" s="968"/>
    </row>
    <row r="69" spans="2:14" ht="21" customHeight="1" x14ac:dyDescent="0.25">
      <c r="B69" s="968"/>
      <c r="C69" s="968"/>
      <c r="D69" s="968"/>
      <c r="E69" s="968"/>
      <c r="F69" s="968"/>
      <c r="G69" s="968"/>
      <c r="H69" s="968"/>
      <c r="I69" s="968"/>
      <c r="J69" s="968"/>
      <c r="K69" s="968"/>
      <c r="L69" s="968"/>
      <c r="M69" s="968"/>
      <c r="N69" s="968"/>
    </row>
    <row r="70" spans="2:14" ht="14.25" customHeight="1" x14ac:dyDescent="0.25">
      <c r="B70" s="968"/>
      <c r="C70" s="968"/>
      <c r="D70" s="968"/>
      <c r="E70" s="968"/>
      <c r="F70" s="968"/>
      <c r="G70" s="968"/>
      <c r="H70" s="968"/>
      <c r="I70" s="968"/>
      <c r="J70" s="968"/>
      <c r="K70" s="968"/>
      <c r="L70" s="968"/>
      <c r="M70" s="968"/>
      <c r="N70" s="968"/>
    </row>
    <row r="71" spans="2:14" x14ac:dyDescent="0.25">
      <c r="B71" s="936" t="s">
        <v>156</v>
      </c>
      <c r="C71" s="936"/>
      <c r="D71" s="936"/>
      <c r="E71" s="936"/>
      <c r="F71" s="936"/>
      <c r="G71" s="936"/>
      <c r="H71" s="936"/>
      <c r="I71" s="936"/>
      <c r="J71" s="936"/>
      <c r="K71" s="936"/>
      <c r="L71" s="936"/>
      <c r="M71" s="936"/>
      <c r="N71" s="936"/>
    </row>
    <row r="72" spans="2:14" x14ac:dyDescent="0.25">
      <c r="B72" s="937"/>
      <c r="C72" s="937"/>
      <c r="D72" s="937"/>
      <c r="E72" s="937"/>
      <c r="F72" s="937"/>
      <c r="G72" s="937"/>
      <c r="H72" s="937"/>
      <c r="I72" s="937"/>
      <c r="J72" s="937"/>
      <c r="K72" s="937"/>
      <c r="L72" s="937"/>
      <c r="M72" s="937"/>
      <c r="N72" s="937"/>
    </row>
    <row r="73" spans="2:14" x14ac:dyDescent="0.25">
      <c r="B73" s="937"/>
      <c r="C73" s="937"/>
      <c r="D73" s="937"/>
      <c r="E73" s="937"/>
      <c r="F73" s="937"/>
      <c r="G73" s="937"/>
      <c r="H73" s="937"/>
      <c r="I73" s="937"/>
      <c r="J73" s="937"/>
      <c r="K73" s="937"/>
      <c r="L73" s="937"/>
      <c r="M73" s="937"/>
      <c r="N73" s="937"/>
    </row>
  </sheetData>
  <sheetProtection algorithmName="SHA-512" hashValue="rwASYYXUP+cm9qhwHi3SR3ZD4RT08vXadivKdumcrZTpi80S9Xl5I7bHF9G0rExWJvgyak8SzTqzzDL/lIPXeQ==" saltValue="2c+tYYTe9fyumYIXq1wrsw==" spinCount="100000" sheet="1" objects="1" scenarios="1"/>
  <mergeCells count="16">
    <mergeCell ref="B71:N73"/>
    <mergeCell ref="B9:C11"/>
    <mergeCell ref="F10:G10"/>
    <mergeCell ref="K9:K11"/>
    <mergeCell ref="E9:G9"/>
    <mergeCell ref="J10:J11"/>
    <mergeCell ref="H10:H11"/>
    <mergeCell ref="E10:E11"/>
    <mergeCell ref="H9:J9"/>
    <mergeCell ref="I10:I11"/>
    <mergeCell ref="D9:D11"/>
    <mergeCell ref="B54:B64"/>
    <mergeCell ref="B12:B33"/>
    <mergeCell ref="B34:B48"/>
    <mergeCell ref="B50:B52"/>
    <mergeCell ref="B68:N70"/>
  </mergeCells>
  <phoneticPr fontId="7"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C6B9"/>
    <pageSetUpPr fitToPage="1"/>
  </sheetPr>
  <dimension ref="B1:R62"/>
  <sheetViews>
    <sheetView showGridLines="0" zoomScaleNormal="100" workbookViewId="0"/>
  </sheetViews>
  <sheetFormatPr defaultColWidth="9.6640625" defaultRowHeight="13.2" x14ac:dyDescent="0.25"/>
  <cols>
    <col min="1" max="1" width="6.44140625" customWidth="1"/>
    <col min="2" max="2" width="8.6640625" bestFit="1" customWidth="1"/>
    <col min="3" max="3" width="31.6640625" customWidth="1"/>
    <col min="4" max="4" width="21.109375" customWidth="1"/>
    <col min="5" max="5" width="11" customWidth="1"/>
    <col min="6" max="6" width="8.33203125" customWidth="1"/>
    <col min="7" max="7" width="12.88671875" customWidth="1"/>
    <col min="8" max="8" width="9" customWidth="1"/>
    <col min="9" max="9" width="12.6640625" customWidth="1"/>
    <col min="10" max="10" width="13.88671875" customWidth="1"/>
    <col min="11" max="11" width="9.5546875" customWidth="1"/>
    <col min="12" max="12" width="13.109375" customWidth="1"/>
    <col min="13" max="13" width="12.88671875" customWidth="1"/>
    <col min="14" max="14" width="12.33203125" customWidth="1"/>
    <col min="15" max="15" width="13.33203125" customWidth="1"/>
    <col min="16" max="16" width="19" customWidth="1"/>
    <col min="17" max="17" width="15.33203125" customWidth="1"/>
    <col min="18" max="18" width="16.6640625" customWidth="1"/>
    <col min="19" max="19" width="3.44140625" customWidth="1"/>
  </cols>
  <sheetData>
    <row r="1" spans="2:18" x14ac:dyDescent="0.25">
      <c r="B1" s="14"/>
      <c r="D1" s="11"/>
      <c r="E1" s="11"/>
      <c r="F1" s="11"/>
      <c r="G1" s="11"/>
      <c r="H1" s="11"/>
      <c r="I1" s="11"/>
      <c r="J1" s="11"/>
      <c r="K1" s="11"/>
    </row>
    <row r="2" spans="2:18" ht="18" customHeight="1" x14ac:dyDescent="0.4">
      <c r="B2" s="14"/>
      <c r="C2" s="278" t="s">
        <v>157</v>
      </c>
      <c r="D2" s="11"/>
      <c r="E2" s="11"/>
      <c r="F2" s="11"/>
      <c r="G2" s="11"/>
      <c r="H2" s="11"/>
      <c r="I2" s="11"/>
      <c r="J2" s="11"/>
      <c r="K2" s="11"/>
    </row>
    <row r="3" spans="2:18" ht="18" customHeight="1" x14ac:dyDescent="0.25"/>
    <row r="4" spans="2:18" ht="18" customHeight="1" x14ac:dyDescent="0.25">
      <c r="B4" s="14"/>
      <c r="C4" s="240"/>
      <c r="D4" s="5" t="s">
        <v>5</v>
      </c>
      <c r="G4" s="11"/>
      <c r="H4" s="11"/>
      <c r="I4" s="11"/>
      <c r="J4" s="11"/>
    </row>
    <row r="5" spans="2:18" ht="18" customHeight="1" x14ac:dyDescent="0.25">
      <c r="B5" s="14"/>
      <c r="C5" s="7"/>
      <c r="D5" s="5" t="s">
        <v>6</v>
      </c>
      <c r="G5" s="11"/>
      <c r="H5" s="11"/>
      <c r="I5" s="11"/>
      <c r="J5" s="11"/>
    </row>
    <row r="6" spans="2:18" ht="18" customHeight="1" x14ac:dyDescent="0.25">
      <c r="C6" s="125"/>
      <c r="D6" s="116" t="s">
        <v>7</v>
      </c>
    </row>
    <row r="7" spans="2:18" ht="25.5" customHeight="1" x14ac:dyDescent="0.3">
      <c r="B7" s="911"/>
      <c r="C7" s="4" t="s">
        <v>158</v>
      </c>
      <c r="D7" s="5"/>
      <c r="E7" s="5"/>
      <c r="F7" s="5"/>
      <c r="G7" s="11"/>
      <c r="H7" s="11"/>
      <c r="I7" s="11"/>
      <c r="J7" s="11"/>
    </row>
    <row r="8" spans="2:18" ht="17.25" customHeight="1" x14ac:dyDescent="0.25"/>
    <row r="9" spans="2:18" ht="18" customHeight="1" thickBot="1" x14ac:dyDescent="0.3">
      <c r="E9" s="159" t="s">
        <v>10</v>
      </c>
      <c r="F9" s="159"/>
      <c r="G9" s="159"/>
      <c r="H9" s="159"/>
      <c r="I9" s="159"/>
      <c r="J9" s="159"/>
      <c r="K9" s="159"/>
      <c r="L9" s="159"/>
      <c r="M9" s="159"/>
      <c r="N9" s="159"/>
      <c r="O9" s="159"/>
      <c r="P9" s="159"/>
      <c r="Q9" s="159"/>
      <c r="R9" s="159"/>
    </row>
    <row r="10" spans="2:18" ht="18" customHeight="1" x14ac:dyDescent="0.25">
      <c r="E10" s="930" t="s">
        <v>11</v>
      </c>
      <c r="F10" s="932"/>
      <c r="G10" s="931" t="s">
        <v>12</v>
      </c>
      <c r="H10" s="931"/>
      <c r="I10" s="931"/>
      <c r="J10" s="931"/>
      <c r="K10" s="932"/>
      <c r="L10" s="931" t="s">
        <v>13</v>
      </c>
      <c r="M10" s="931"/>
      <c r="N10" s="973" t="s">
        <v>14</v>
      </c>
      <c r="O10" s="931"/>
      <c r="P10" s="66" t="s">
        <v>15</v>
      </c>
      <c r="Q10" s="931" t="s">
        <v>16</v>
      </c>
      <c r="R10" s="932"/>
    </row>
    <row r="11" spans="2:18" ht="18" customHeight="1" x14ac:dyDescent="0.25">
      <c r="E11" s="58" t="s">
        <v>18</v>
      </c>
      <c r="F11" s="76" t="s">
        <v>19</v>
      </c>
      <c r="G11" s="74" t="s">
        <v>20</v>
      </c>
      <c r="H11" s="47" t="s">
        <v>21</v>
      </c>
      <c r="I11" s="46" t="s">
        <v>22</v>
      </c>
      <c r="J11" s="46" t="s">
        <v>23</v>
      </c>
      <c r="K11" s="72" t="s">
        <v>24</v>
      </c>
      <c r="L11" s="71" t="s">
        <v>25</v>
      </c>
      <c r="M11" s="47" t="s">
        <v>26</v>
      </c>
      <c r="N11" s="47" t="s">
        <v>27</v>
      </c>
      <c r="O11" s="47" t="s">
        <v>28</v>
      </c>
      <c r="P11" s="67" t="s">
        <v>29</v>
      </c>
      <c r="Q11" s="64" t="s">
        <v>30</v>
      </c>
      <c r="R11" s="59" t="s">
        <v>31</v>
      </c>
    </row>
    <row r="12" spans="2:18" ht="44.25" customHeight="1" thickBot="1" x14ac:dyDescent="0.35">
      <c r="B12" s="39" t="s">
        <v>35</v>
      </c>
      <c r="E12" s="60" t="s">
        <v>36</v>
      </c>
      <c r="F12" s="73" t="s">
        <v>37</v>
      </c>
      <c r="G12" s="75" t="s">
        <v>38</v>
      </c>
      <c r="H12" s="49" t="s">
        <v>39</v>
      </c>
      <c r="I12" s="290" t="s">
        <v>40</v>
      </c>
      <c r="J12" s="49" t="s">
        <v>41</v>
      </c>
      <c r="K12" s="73" t="s">
        <v>42</v>
      </c>
      <c r="L12" s="65" t="s">
        <v>159</v>
      </c>
      <c r="M12" s="50" t="s">
        <v>44</v>
      </c>
      <c r="N12" s="50" t="s">
        <v>160</v>
      </c>
      <c r="O12" s="50" t="s">
        <v>161</v>
      </c>
      <c r="P12" s="68" t="s">
        <v>46</v>
      </c>
      <c r="Q12" s="65" t="s">
        <v>162</v>
      </c>
      <c r="R12" s="61" t="s">
        <v>163</v>
      </c>
    </row>
    <row r="13" spans="2:18" ht="18" customHeight="1" thickBot="1" x14ac:dyDescent="0.3">
      <c r="B13" s="971" t="s">
        <v>164</v>
      </c>
      <c r="C13" s="972"/>
      <c r="D13" s="922" t="s">
        <v>54</v>
      </c>
      <c r="E13" s="77"/>
      <c r="F13" s="78"/>
      <c r="G13" s="79"/>
      <c r="H13" s="80"/>
      <c r="I13" s="80" t="s">
        <v>55</v>
      </c>
      <c r="J13" s="80" t="s">
        <v>56</v>
      </c>
      <c r="K13" s="78"/>
      <c r="L13" s="81"/>
      <c r="M13" s="82"/>
      <c r="N13" s="82"/>
      <c r="O13" s="82"/>
      <c r="P13" s="83"/>
      <c r="Q13" s="81" t="s">
        <v>165</v>
      </c>
      <c r="R13" s="84" t="s">
        <v>166</v>
      </c>
    </row>
    <row r="14" spans="2:18" ht="18" customHeight="1" thickBot="1" x14ac:dyDescent="0.3">
      <c r="B14" s="126">
        <v>0</v>
      </c>
      <c r="C14" s="139" t="str">
        <f>IF(ISBLANK('2. Stationary combustion CO2'!C15)," ",'2. Stationary combustion CO2'!C15)</f>
        <v>Source 1</v>
      </c>
      <c r="D14" s="144" t="str">
        <f>IF(ISBLANK('2. Stationary combustion CO2'!D15)," ",'2. Stationary combustion CO2'!D15)</f>
        <v>Coking coal</v>
      </c>
      <c r="E14" s="128">
        <f>'2. Stationary combustion CO2'!E15</f>
        <v>1000</v>
      </c>
      <c r="F14" s="152" t="str">
        <f>'2. Stationary combustion CO2'!F15</f>
        <v>kg</v>
      </c>
      <c r="G14" s="152">
        <f>'2. Stationary combustion CO2'!G15</f>
        <v>2.8199999999999999E-2</v>
      </c>
      <c r="H14" s="145" t="str">
        <f>'2. Stationary combustion CO2'!H15</f>
        <v>GJ/kg</v>
      </c>
      <c r="I14" s="145" t="str">
        <f>'2. Stationary combustion CO2'!I15</f>
        <v>NCV</v>
      </c>
      <c r="J14" s="127">
        <f t="shared" ref="J14" si="0">E14*G14</f>
        <v>28.2</v>
      </c>
      <c r="K14" s="148" t="str">
        <f>'2. Stationary combustion CO2'!K15</f>
        <v>GJ</v>
      </c>
      <c r="L14" s="129">
        <v>0.01</v>
      </c>
      <c r="M14" s="131" t="s">
        <v>167</v>
      </c>
      <c r="N14" s="166">
        <v>1.5E-3</v>
      </c>
      <c r="O14" s="133" t="s">
        <v>168</v>
      </c>
      <c r="P14" s="134">
        <v>1</v>
      </c>
      <c r="Q14" s="136">
        <f>J14*L14*P14</f>
        <v>0.28199999999999997</v>
      </c>
      <c r="R14" s="134">
        <f>J14*N14*P14</f>
        <v>4.2299999999999997E-2</v>
      </c>
    </row>
    <row r="15" spans="2:18" ht="18" customHeight="1" x14ac:dyDescent="0.25">
      <c r="B15" s="95">
        <v>1</v>
      </c>
      <c r="C15" s="566" t="str">
        <f>IF(ISBLANK('2. Stationary combustion CO2'!C16)," ",'2. Stationary combustion CO2'!C16)</f>
        <v xml:space="preserve"> </v>
      </c>
      <c r="D15" s="567" t="str">
        <f>IF(ISBLANK('2. Stationary combustion CO2'!D16)," ",'2. Stationary combustion CO2'!D16)</f>
        <v xml:space="preserve"> </v>
      </c>
      <c r="E15" s="300">
        <f>'2. Stationary combustion CO2'!E16</f>
        <v>0</v>
      </c>
      <c r="F15" s="301">
        <f>'2. Stationary combustion CO2'!F16</f>
        <v>0</v>
      </c>
      <c r="G15" s="302">
        <f>'2. Stationary combustion CO2'!G16</f>
        <v>0</v>
      </c>
      <c r="H15" s="303">
        <f>'2. Stationary combustion CO2'!H16</f>
        <v>0</v>
      </c>
      <c r="I15" s="303">
        <f>'2. Stationary combustion CO2'!I16</f>
        <v>0</v>
      </c>
      <c r="J15" s="540">
        <f t="shared" ref="J15:J16" si="1">E15*G15</f>
        <v>0</v>
      </c>
      <c r="K15" s="301">
        <f>'2. Stationary combustion CO2'!K16</f>
        <v>0</v>
      </c>
      <c r="L15" s="160"/>
      <c r="M15" s="21"/>
      <c r="N15" s="163"/>
      <c r="O15" s="21"/>
      <c r="P15" s="108"/>
      <c r="Q15" s="570">
        <f>J15*L15*P15</f>
        <v>0</v>
      </c>
      <c r="R15" s="544">
        <f t="shared" ref="R15:R34" si="2">J15*N15*P15</f>
        <v>0</v>
      </c>
    </row>
    <row r="16" spans="2:18" ht="18" customHeight="1" x14ac:dyDescent="0.25">
      <c r="B16" s="56">
        <f t="shared" ref="B16:B34" si="3">B15+1</f>
        <v>2</v>
      </c>
      <c r="C16" s="568" t="str">
        <f>IF(ISBLANK('2. Stationary combustion CO2'!C17)," ",'2. Stationary combustion CO2'!C17)</f>
        <v xml:space="preserve"> </v>
      </c>
      <c r="D16" s="567" t="str">
        <f>IF(ISBLANK('2. Stationary combustion CO2'!D17)," ",'2. Stationary combustion CO2'!D17)</f>
        <v xml:space="preserve"> </v>
      </c>
      <c r="E16" s="300">
        <f>'2. Stationary combustion CO2'!E17</f>
        <v>0</v>
      </c>
      <c r="F16" s="301">
        <f>'2. Stationary combustion CO2'!F17</f>
        <v>0</v>
      </c>
      <c r="G16" s="302">
        <f>'2. Stationary combustion CO2'!G17</f>
        <v>0</v>
      </c>
      <c r="H16" s="303">
        <f>'2. Stationary combustion CO2'!H17</f>
        <v>0</v>
      </c>
      <c r="I16" s="303">
        <f>'2. Stationary combustion CO2'!I17</f>
        <v>0</v>
      </c>
      <c r="J16" s="541">
        <f t="shared" si="1"/>
        <v>0</v>
      </c>
      <c r="K16" s="301">
        <f>'2. Stationary combustion CO2'!K17</f>
        <v>0</v>
      </c>
      <c r="L16" s="161"/>
      <c r="M16" s="15"/>
      <c r="N16" s="164"/>
      <c r="O16" s="15"/>
      <c r="P16" s="69"/>
      <c r="Q16" s="571">
        <f t="shared" ref="Q16:Q34" si="4">J16*L16*P16</f>
        <v>0</v>
      </c>
      <c r="R16" s="546">
        <f t="shared" si="2"/>
        <v>0</v>
      </c>
    </row>
    <row r="17" spans="2:18" ht="18" customHeight="1" x14ac:dyDescent="0.25">
      <c r="B17" s="56">
        <f t="shared" si="3"/>
        <v>3</v>
      </c>
      <c r="C17" s="568" t="str">
        <f>IF(ISBLANK('2. Stationary combustion CO2'!C18)," ",'2. Stationary combustion CO2'!C18)</f>
        <v xml:space="preserve"> </v>
      </c>
      <c r="D17" s="567" t="str">
        <f>IF(ISBLANK('2. Stationary combustion CO2'!D18)," ",'2. Stationary combustion CO2'!D18)</f>
        <v xml:space="preserve"> </v>
      </c>
      <c r="E17" s="300">
        <f>'2. Stationary combustion CO2'!E18</f>
        <v>0</v>
      </c>
      <c r="F17" s="301">
        <f>'2. Stationary combustion CO2'!F18</f>
        <v>0</v>
      </c>
      <c r="G17" s="302">
        <f>'2. Stationary combustion CO2'!G18</f>
        <v>0</v>
      </c>
      <c r="H17" s="303">
        <f>'2. Stationary combustion CO2'!H18</f>
        <v>0</v>
      </c>
      <c r="I17" s="303">
        <f>'2. Stationary combustion CO2'!I18</f>
        <v>0</v>
      </c>
      <c r="J17" s="540">
        <f t="shared" ref="J17:J34" si="5">E17*G17</f>
        <v>0</v>
      </c>
      <c r="K17" s="301">
        <f>'2. Stationary combustion CO2'!K18</f>
        <v>0</v>
      </c>
      <c r="L17" s="161"/>
      <c r="M17" s="15"/>
      <c r="N17" s="164"/>
      <c r="O17" s="15"/>
      <c r="P17" s="69"/>
      <c r="Q17" s="571">
        <f t="shared" si="4"/>
        <v>0</v>
      </c>
      <c r="R17" s="546">
        <f t="shared" si="2"/>
        <v>0</v>
      </c>
    </row>
    <row r="18" spans="2:18" ht="18" customHeight="1" x14ac:dyDescent="0.25">
      <c r="B18" s="56">
        <f t="shared" si="3"/>
        <v>4</v>
      </c>
      <c r="C18" s="568" t="str">
        <f>IF(ISBLANK('2. Stationary combustion CO2'!C19)," ",'2. Stationary combustion CO2'!C19)</f>
        <v xml:space="preserve"> </v>
      </c>
      <c r="D18" s="567" t="str">
        <f>IF(ISBLANK('2. Stationary combustion CO2'!D19)," ",'2. Stationary combustion CO2'!D19)</f>
        <v xml:space="preserve"> </v>
      </c>
      <c r="E18" s="300">
        <f>'2. Stationary combustion CO2'!E19</f>
        <v>0</v>
      </c>
      <c r="F18" s="301">
        <f>'2. Stationary combustion CO2'!F19</f>
        <v>0</v>
      </c>
      <c r="G18" s="302">
        <f>'2. Stationary combustion CO2'!G19</f>
        <v>0</v>
      </c>
      <c r="H18" s="303">
        <f>'2. Stationary combustion CO2'!H19</f>
        <v>0</v>
      </c>
      <c r="I18" s="303">
        <f>'2. Stationary combustion CO2'!I19</f>
        <v>0</v>
      </c>
      <c r="J18" s="541">
        <f t="shared" si="5"/>
        <v>0</v>
      </c>
      <c r="K18" s="301">
        <f>'2. Stationary combustion CO2'!K19</f>
        <v>0</v>
      </c>
      <c r="L18" s="161"/>
      <c r="M18" s="580"/>
      <c r="N18" s="164"/>
      <c r="O18" s="15"/>
      <c r="P18" s="69"/>
      <c r="Q18" s="571">
        <f t="shared" si="4"/>
        <v>0</v>
      </c>
      <c r="R18" s="546">
        <f t="shared" si="2"/>
        <v>0</v>
      </c>
    </row>
    <row r="19" spans="2:18" ht="18" customHeight="1" x14ac:dyDescent="0.25">
      <c r="B19" s="56">
        <f t="shared" si="3"/>
        <v>5</v>
      </c>
      <c r="C19" s="568" t="str">
        <f>IF(ISBLANK('2. Stationary combustion CO2'!C20)," ",'2. Stationary combustion CO2'!C20)</f>
        <v xml:space="preserve"> </v>
      </c>
      <c r="D19" s="567" t="str">
        <f>IF(ISBLANK('2. Stationary combustion CO2'!D20)," ",'2. Stationary combustion CO2'!D20)</f>
        <v xml:space="preserve"> </v>
      </c>
      <c r="E19" s="300">
        <f>'2. Stationary combustion CO2'!E20</f>
        <v>0</v>
      </c>
      <c r="F19" s="301">
        <f>'2. Stationary combustion CO2'!F20</f>
        <v>0</v>
      </c>
      <c r="G19" s="302">
        <f>'2. Stationary combustion CO2'!G20</f>
        <v>0</v>
      </c>
      <c r="H19" s="303">
        <f>'2. Stationary combustion CO2'!H20</f>
        <v>0</v>
      </c>
      <c r="I19" s="303">
        <f>'2. Stationary combustion CO2'!I20</f>
        <v>0</v>
      </c>
      <c r="J19" s="540">
        <f t="shared" si="5"/>
        <v>0</v>
      </c>
      <c r="K19" s="301">
        <f>'2. Stationary combustion CO2'!K20</f>
        <v>0</v>
      </c>
      <c r="L19" s="161"/>
      <c r="M19" s="15"/>
      <c r="N19" s="164"/>
      <c r="O19" s="15"/>
      <c r="P19" s="69"/>
      <c r="Q19" s="571">
        <f t="shared" si="4"/>
        <v>0</v>
      </c>
      <c r="R19" s="546">
        <f t="shared" si="2"/>
        <v>0</v>
      </c>
    </row>
    <row r="20" spans="2:18" ht="18" customHeight="1" x14ac:dyDescent="0.25">
      <c r="B20" s="56">
        <f t="shared" si="3"/>
        <v>6</v>
      </c>
      <c r="C20" s="568" t="str">
        <f>IF(ISBLANK('2. Stationary combustion CO2'!C21)," ",'2. Stationary combustion CO2'!C21)</f>
        <v xml:space="preserve"> </v>
      </c>
      <c r="D20" s="567" t="str">
        <f>IF(ISBLANK('2. Stationary combustion CO2'!D21)," ",'2. Stationary combustion CO2'!D21)</f>
        <v xml:space="preserve"> </v>
      </c>
      <c r="E20" s="300">
        <f>'2. Stationary combustion CO2'!E21</f>
        <v>0</v>
      </c>
      <c r="F20" s="301">
        <f>'2. Stationary combustion CO2'!F21</f>
        <v>0</v>
      </c>
      <c r="G20" s="302">
        <f>'2. Stationary combustion CO2'!G21</f>
        <v>0</v>
      </c>
      <c r="H20" s="303">
        <f>'2. Stationary combustion CO2'!H21</f>
        <v>0</v>
      </c>
      <c r="I20" s="303">
        <f>'2. Stationary combustion CO2'!I21</f>
        <v>0</v>
      </c>
      <c r="J20" s="541">
        <f t="shared" si="5"/>
        <v>0</v>
      </c>
      <c r="K20" s="301">
        <f>'2. Stationary combustion CO2'!K21</f>
        <v>0</v>
      </c>
      <c r="L20" s="161"/>
      <c r="M20" s="15"/>
      <c r="N20" s="164"/>
      <c r="O20" s="15"/>
      <c r="P20" s="69"/>
      <c r="Q20" s="571">
        <f t="shared" si="4"/>
        <v>0</v>
      </c>
      <c r="R20" s="546">
        <f t="shared" si="2"/>
        <v>0</v>
      </c>
    </row>
    <row r="21" spans="2:18" ht="18" customHeight="1" x14ac:dyDescent="0.25">
      <c r="B21" s="56">
        <f t="shared" si="3"/>
        <v>7</v>
      </c>
      <c r="C21" s="568" t="str">
        <f>IF(ISBLANK('2. Stationary combustion CO2'!C22)," ",'2. Stationary combustion CO2'!C22)</f>
        <v xml:space="preserve"> </v>
      </c>
      <c r="D21" s="567" t="str">
        <f>IF(ISBLANK('2. Stationary combustion CO2'!D22)," ",'2. Stationary combustion CO2'!D22)</f>
        <v xml:space="preserve"> </v>
      </c>
      <c r="E21" s="300">
        <f>'2. Stationary combustion CO2'!E22</f>
        <v>0</v>
      </c>
      <c r="F21" s="301">
        <f>'2. Stationary combustion CO2'!F22</f>
        <v>0</v>
      </c>
      <c r="G21" s="302">
        <f>'2. Stationary combustion CO2'!G22</f>
        <v>0</v>
      </c>
      <c r="H21" s="303">
        <f>'2. Stationary combustion CO2'!H22</f>
        <v>0</v>
      </c>
      <c r="I21" s="303">
        <f>'2. Stationary combustion CO2'!I22</f>
        <v>0</v>
      </c>
      <c r="J21" s="540">
        <f t="shared" si="5"/>
        <v>0</v>
      </c>
      <c r="K21" s="301">
        <f>'2. Stationary combustion CO2'!K22</f>
        <v>0</v>
      </c>
      <c r="L21" s="161"/>
      <c r="M21" s="15"/>
      <c r="N21" s="164"/>
      <c r="O21" s="15"/>
      <c r="P21" s="69"/>
      <c r="Q21" s="571">
        <f t="shared" si="4"/>
        <v>0</v>
      </c>
      <c r="R21" s="546">
        <f t="shared" si="2"/>
        <v>0</v>
      </c>
    </row>
    <row r="22" spans="2:18" ht="18" customHeight="1" x14ac:dyDescent="0.25">
      <c r="B22" s="56">
        <f t="shared" si="3"/>
        <v>8</v>
      </c>
      <c r="C22" s="568" t="str">
        <f>IF(ISBLANK('2. Stationary combustion CO2'!C23)," ",'2. Stationary combustion CO2'!C23)</f>
        <v xml:space="preserve"> </v>
      </c>
      <c r="D22" s="567" t="str">
        <f>IF(ISBLANK('2. Stationary combustion CO2'!D23)," ",'2. Stationary combustion CO2'!D23)</f>
        <v xml:space="preserve"> </v>
      </c>
      <c r="E22" s="300">
        <f>'2. Stationary combustion CO2'!E23</f>
        <v>0</v>
      </c>
      <c r="F22" s="301">
        <f>'2. Stationary combustion CO2'!F23</f>
        <v>0</v>
      </c>
      <c r="G22" s="302">
        <f>'2. Stationary combustion CO2'!G23</f>
        <v>0</v>
      </c>
      <c r="H22" s="303">
        <f>'2. Stationary combustion CO2'!H23</f>
        <v>0</v>
      </c>
      <c r="I22" s="303">
        <f>'2. Stationary combustion CO2'!I23</f>
        <v>0</v>
      </c>
      <c r="J22" s="541">
        <f t="shared" si="5"/>
        <v>0</v>
      </c>
      <c r="K22" s="301">
        <f>'2. Stationary combustion CO2'!K23</f>
        <v>0</v>
      </c>
      <c r="L22" s="161"/>
      <c r="M22" s="15"/>
      <c r="N22" s="164"/>
      <c r="O22" s="15"/>
      <c r="P22" s="69"/>
      <c r="Q22" s="571">
        <f t="shared" si="4"/>
        <v>0</v>
      </c>
      <c r="R22" s="546">
        <f t="shared" si="2"/>
        <v>0</v>
      </c>
    </row>
    <row r="23" spans="2:18" ht="18" customHeight="1" x14ac:dyDescent="0.25">
      <c r="B23" s="56">
        <f t="shared" si="3"/>
        <v>9</v>
      </c>
      <c r="C23" s="568" t="str">
        <f>IF(ISBLANK('2. Stationary combustion CO2'!C24)," ",'2. Stationary combustion CO2'!C24)</f>
        <v xml:space="preserve"> </v>
      </c>
      <c r="D23" s="567" t="str">
        <f>IF(ISBLANK('2. Stationary combustion CO2'!D24)," ",'2. Stationary combustion CO2'!D24)</f>
        <v xml:space="preserve"> </v>
      </c>
      <c r="E23" s="300">
        <f>'2. Stationary combustion CO2'!E24</f>
        <v>0</v>
      </c>
      <c r="F23" s="301">
        <f>'2. Stationary combustion CO2'!F24</f>
        <v>0</v>
      </c>
      <c r="G23" s="302">
        <f>'2. Stationary combustion CO2'!G24</f>
        <v>0</v>
      </c>
      <c r="H23" s="303">
        <f>'2. Stationary combustion CO2'!H24</f>
        <v>0</v>
      </c>
      <c r="I23" s="303">
        <f>'2. Stationary combustion CO2'!I24</f>
        <v>0</v>
      </c>
      <c r="J23" s="540">
        <f t="shared" si="5"/>
        <v>0</v>
      </c>
      <c r="K23" s="301">
        <f>'2. Stationary combustion CO2'!K24</f>
        <v>0</v>
      </c>
      <c r="L23" s="161"/>
      <c r="M23" s="15"/>
      <c r="N23" s="164"/>
      <c r="O23" s="15"/>
      <c r="P23" s="69"/>
      <c r="Q23" s="571">
        <f t="shared" si="4"/>
        <v>0</v>
      </c>
      <c r="R23" s="546">
        <f t="shared" si="2"/>
        <v>0</v>
      </c>
    </row>
    <row r="24" spans="2:18" ht="18" customHeight="1" x14ac:dyDescent="0.25">
      <c r="B24" s="56">
        <f t="shared" si="3"/>
        <v>10</v>
      </c>
      <c r="C24" s="568" t="str">
        <f>IF(ISBLANK('2. Stationary combustion CO2'!C25)," ",'2. Stationary combustion CO2'!C25)</f>
        <v xml:space="preserve"> </v>
      </c>
      <c r="D24" s="567" t="str">
        <f>IF(ISBLANK('2. Stationary combustion CO2'!D25)," ",'2. Stationary combustion CO2'!D25)</f>
        <v xml:space="preserve"> </v>
      </c>
      <c r="E24" s="300">
        <f>'2. Stationary combustion CO2'!E25</f>
        <v>0</v>
      </c>
      <c r="F24" s="301">
        <f>'2. Stationary combustion CO2'!F25</f>
        <v>0</v>
      </c>
      <c r="G24" s="302">
        <f>'2. Stationary combustion CO2'!G25</f>
        <v>0</v>
      </c>
      <c r="H24" s="303">
        <f>'2. Stationary combustion CO2'!H25</f>
        <v>0</v>
      </c>
      <c r="I24" s="303">
        <f>'2. Stationary combustion CO2'!I25</f>
        <v>0</v>
      </c>
      <c r="J24" s="541">
        <f t="shared" si="5"/>
        <v>0</v>
      </c>
      <c r="K24" s="301">
        <f>'2. Stationary combustion CO2'!K25</f>
        <v>0</v>
      </c>
      <c r="L24" s="161"/>
      <c r="M24" s="15"/>
      <c r="N24" s="164"/>
      <c r="O24" s="15"/>
      <c r="P24" s="69"/>
      <c r="Q24" s="571">
        <f t="shared" si="4"/>
        <v>0</v>
      </c>
      <c r="R24" s="546">
        <f t="shared" si="2"/>
        <v>0</v>
      </c>
    </row>
    <row r="25" spans="2:18" ht="18" customHeight="1" x14ac:dyDescent="0.25">
      <c r="B25" s="56">
        <f t="shared" si="3"/>
        <v>11</v>
      </c>
      <c r="C25" s="568" t="str">
        <f>IF(ISBLANK('2. Stationary combustion CO2'!C26)," ",'2. Stationary combustion CO2'!C26)</f>
        <v xml:space="preserve"> </v>
      </c>
      <c r="D25" s="567" t="str">
        <f>IF(ISBLANK('2. Stationary combustion CO2'!D26)," ",'2. Stationary combustion CO2'!D26)</f>
        <v xml:space="preserve"> </v>
      </c>
      <c r="E25" s="300">
        <f>'2. Stationary combustion CO2'!E26</f>
        <v>0</v>
      </c>
      <c r="F25" s="301">
        <f>'2. Stationary combustion CO2'!F26</f>
        <v>0</v>
      </c>
      <c r="G25" s="302">
        <f>'2. Stationary combustion CO2'!G26</f>
        <v>0</v>
      </c>
      <c r="H25" s="303">
        <f>'2. Stationary combustion CO2'!H26</f>
        <v>0</v>
      </c>
      <c r="I25" s="303">
        <f>'2. Stationary combustion CO2'!I26</f>
        <v>0</v>
      </c>
      <c r="J25" s="540">
        <f t="shared" si="5"/>
        <v>0</v>
      </c>
      <c r="K25" s="301">
        <f>'2. Stationary combustion CO2'!K26</f>
        <v>0</v>
      </c>
      <c r="L25" s="161"/>
      <c r="M25" s="15"/>
      <c r="N25" s="164"/>
      <c r="O25" s="15"/>
      <c r="P25" s="69"/>
      <c r="Q25" s="571">
        <f t="shared" si="4"/>
        <v>0</v>
      </c>
      <c r="R25" s="546">
        <f t="shared" si="2"/>
        <v>0</v>
      </c>
    </row>
    <row r="26" spans="2:18" ht="18" customHeight="1" x14ac:dyDescent="0.25">
      <c r="B26" s="56">
        <f t="shared" si="3"/>
        <v>12</v>
      </c>
      <c r="C26" s="568" t="str">
        <f>IF(ISBLANK('2. Stationary combustion CO2'!C27)," ",'2. Stationary combustion CO2'!C27)</f>
        <v xml:space="preserve"> </v>
      </c>
      <c r="D26" s="567" t="str">
        <f>IF(ISBLANK('2. Stationary combustion CO2'!D27)," ",'2. Stationary combustion CO2'!D27)</f>
        <v xml:space="preserve"> </v>
      </c>
      <c r="E26" s="300">
        <f>'2. Stationary combustion CO2'!E27</f>
        <v>0</v>
      </c>
      <c r="F26" s="301">
        <f>'2. Stationary combustion CO2'!F27</f>
        <v>0</v>
      </c>
      <c r="G26" s="302">
        <f>'2. Stationary combustion CO2'!G27</f>
        <v>0</v>
      </c>
      <c r="H26" s="303">
        <f>'2. Stationary combustion CO2'!H27</f>
        <v>0</v>
      </c>
      <c r="I26" s="303">
        <f>'2. Stationary combustion CO2'!I27</f>
        <v>0</v>
      </c>
      <c r="J26" s="541">
        <f t="shared" si="5"/>
        <v>0</v>
      </c>
      <c r="K26" s="301">
        <f>'2. Stationary combustion CO2'!K27</f>
        <v>0</v>
      </c>
      <c r="L26" s="161"/>
      <c r="M26" s="15"/>
      <c r="N26" s="164"/>
      <c r="O26" s="15"/>
      <c r="P26" s="69"/>
      <c r="Q26" s="571">
        <f t="shared" si="4"/>
        <v>0</v>
      </c>
      <c r="R26" s="546">
        <f t="shared" si="2"/>
        <v>0</v>
      </c>
    </row>
    <row r="27" spans="2:18" ht="18" customHeight="1" x14ac:dyDescent="0.25">
      <c r="B27" s="56">
        <f t="shared" si="3"/>
        <v>13</v>
      </c>
      <c r="C27" s="568" t="str">
        <f>IF(ISBLANK('2. Stationary combustion CO2'!C28)," ",'2. Stationary combustion CO2'!C28)</f>
        <v xml:space="preserve"> </v>
      </c>
      <c r="D27" s="567" t="str">
        <f>IF(ISBLANK('2. Stationary combustion CO2'!D28)," ",'2. Stationary combustion CO2'!D28)</f>
        <v xml:space="preserve"> </v>
      </c>
      <c r="E27" s="300">
        <f>'2. Stationary combustion CO2'!E28</f>
        <v>0</v>
      </c>
      <c r="F27" s="301">
        <f>'2. Stationary combustion CO2'!F28</f>
        <v>0</v>
      </c>
      <c r="G27" s="302">
        <f>'2. Stationary combustion CO2'!G28</f>
        <v>0</v>
      </c>
      <c r="H27" s="303">
        <f>'2. Stationary combustion CO2'!H28</f>
        <v>0</v>
      </c>
      <c r="I27" s="303">
        <f>'2. Stationary combustion CO2'!I28</f>
        <v>0</v>
      </c>
      <c r="J27" s="540">
        <f t="shared" si="5"/>
        <v>0</v>
      </c>
      <c r="K27" s="301">
        <f>'2. Stationary combustion CO2'!K28</f>
        <v>0</v>
      </c>
      <c r="L27" s="161"/>
      <c r="M27" s="15"/>
      <c r="N27" s="164"/>
      <c r="O27" s="15"/>
      <c r="P27" s="69"/>
      <c r="Q27" s="571">
        <f t="shared" si="4"/>
        <v>0</v>
      </c>
      <c r="R27" s="546">
        <f t="shared" si="2"/>
        <v>0</v>
      </c>
    </row>
    <row r="28" spans="2:18" ht="18" customHeight="1" x14ac:dyDescent="0.25">
      <c r="B28" s="56">
        <f t="shared" si="3"/>
        <v>14</v>
      </c>
      <c r="C28" s="568" t="str">
        <f>IF(ISBLANK('2. Stationary combustion CO2'!C29)," ",'2. Stationary combustion CO2'!C29)</f>
        <v xml:space="preserve"> </v>
      </c>
      <c r="D28" s="567" t="str">
        <f>IF(ISBLANK('2. Stationary combustion CO2'!D29)," ",'2. Stationary combustion CO2'!D29)</f>
        <v xml:space="preserve"> </v>
      </c>
      <c r="E28" s="300">
        <f>'2. Stationary combustion CO2'!E29</f>
        <v>0</v>
      </c>
      <c r="F28" s="301">
        <f>'2. Stationary combustion CO2'!F29</f>
        <v>0</v>
      </c>
      <c r="G28" s="302">
        <f>'2. Stationary combustion CO2'!G29</f>
        <v>0</v>
      </c>
      <c r="H28" s="303">
        <f>'2. Stationary combustion CO2'!H29</f>
        <v>0</v>
      </c>
      <c r="I28" s="303">
        <f>'2. Stationary combustion CO2'!I29</f>
        <v>0</v>
      </c>
      <c r="J28" s="541">
        <f t="shared" si="5"/>
        <v>0</v>
      </c>
      <c r="K28" s="301">
        <f>'2. Stationary combustion CO2'!K29</f>
        <v>0</v>
      </c>
      <c r="L28" s="161"/>
      <c r="M28" s="15"/>
      <c r="N28" s="164"/>
      <c r="O28" s="15"/>
      <c r="P28" s="69"/>
      <c r="Q28" s="571">
        <f t="shared" si="4"/>
        <v>0</v>
      </c>
      <c r="R28" s="546">
        <f t="shared" si="2"/>
        <v>0</v>
      </c>
    </row>
    <row r="29" spans="2:18" ht="18" customHeight="1" x14ac:dyDescent="0.25">
      <c r="B29" s="56">
        <f t="shared" si="3"/>
        <v>15</v>
      </c>
      <c r="C29" s="568" t="str">
        <f>IF(ISBLANK('2. Stationary combustion CO2'!C30)," ",'2. Stationary combustion CO2'!C30)</f>
        <v xml:space="preserve"> </v>
      </c>
      <c r="D29" s="567" t="str">
        <f>IF(ISBLANK('2. Stationary combustion CO2'!D30)," ",'2. Stationary combustion CO2'!D30)</f>
        <v xml:space="preserve"> </v>
      </c>
      <c r="E29" s="300">
        <f>'2. Stationary combustion CO2'!E30</f>
        <v>0</v>
      </c>
      <c r="F29" s="301">
        <f>'2. Stationary combustion CO2'!F30</f>
        <v>0</v>
      </c>
      <c r="G29" s="302">
        <f>'2. Stationary combustion CO2'!G30</f>
        <v>0</v>
      </c>
      <c r="H29" s="303">
        <f>'2. Stationary combustion CO2'!H30</f>
        <v>0</v>
      </c>
      <c r="I29" s="303">
        <f>'2. Stationary combustion CO2'!I30</f>
        <v>0</v>
      </c>
      <c r="J29" s="540">
        <f t="shared" si="5"/>
        <v>0</v>
      </c>
      <c r="K29" s="301">
        <f>'2. Stationary combustion CO2'!K30</f>
        <v>0</v>
      </c>
      <c r="L29" s="161"/>
      <c r="M29" s="15"/>
      <c r="N29" s="164"/>
      <c r="O29" s="15"/>
      <c r="P29" s="69"/>
      <c r="Q29" s="571">
        <f t="shared" si="4"/>
        <v>0</v>
      </c>
      <c r="R29" s="546">
        <f t="shared" si="2"/>
        <v>0</v>
      </c>
    </row>
    <row r="30" spans="2:18" ht="18" customHeight="1" x14ac:dyDescent="0.25">
      <c r="B30" s="56">
        <f t="shared" si="3"/>
        <v>16</v>
      </c>
      <c r="C30" s="568" t="str">
        <f>IF(ISBLANK('2. Stationary combustion CO2'!C31)," ",'2. Stationary combustion CO2'!C31)</f>
        <v xml:space="preserve"> </v>
      </c>
      <c r="D30" s="567" t="str">
        <f>IF(ISBLANK('2. Stationary combustion CO2'!D31)," ",'2. Stationary combustion CO2'!D31)</f>
        <v xml:space="preserve"> </v>
      </c>
      <c r="E30" s="300">
        <f>'2. Stationary combustion CO2'!E31</f>
        <v>0</v>
      </c>
      <c r="F30" s="301">
        <f>'2. Stationary combustion CO2'!F31</f>
        <v>0</v>
      </c>
      <c r="G30" s="302">
        <f>'2. Stationary combustion CO2'!G31</f>
        <v>0</v>
      </c>
      <c r="H30" s="303">
        <f>'2. Stationary combustion CO2'!H31</f>
        <v>0</v>
      </c>
      <c r="I30" s="303">
        <f>'2. Stationary combustion CO2'!I31</f>
        <v>0</v>
      </c>
      <c r="J30" s="541">
        <f t="shared" si="5"/>
        <v>0</v>
      </c>
      <c r="K30" s="301">
        <f>'2. Stationary combustion CO2'!K31</f>
        <v>0</v>
      </c>
      <c r="L30" s="161"/>
      <c r="M30" s="15"/>
      <c r="N30" s="164"/>
      <c r="O30" s="15"/>
      <c r="P30" s="69"/>
      <c r="Q30" s="571">
        <f t="shared" si="4"/>
        <v>0</v>
      </c>
      <c r="R30" s="546">
        <f t="shared" si="2"/>
        <v>0</v>
      </c>
    </row>
    <row r="31" spans="2:18" ht="18" customHeight="1" x14ac:dyDescent="0.25">
      <c r="B31" s="56">
        <f t="shared" si="3"/>
        <v>17</v>
      </c>
      <c r="C31" s="568" t="str">
        <f>IF(ISBLANK('2. Stationary combustion CO2'!C32)," ",'2. Stationary combustion CO2'!C32)</f>
        <v xml:space="preserve"> </v>
      </c>
      <c r="D31" s="567" t="str">
        <f>IF(ISBLANK('2. Stationary combustion CO2'!D32)," ",'2. Stationary combustion CO2'!D32)</f>
        <v xml:space="preserve"> </v>
      </c>
      <c r="E31" s="300">
        <f>'2. Stationary combustion CO2'!E32</f>
        <v>0</v>
      </c>
      <c r="F31" s="301">
        <f>'2. Stationary combustion CO2'!F32</f>
        <v>0</v>
      </c>
      <c r="G31" s="302">
        <f>'2. Stationary combustion CO2'!G32</f>
        <v>0</v>
      </c>
      <c r="H31" s="303">
        <f>'2. Stationary combustion CO2'!H32</f>
        <v>0</v>
      </c>
      <c r="I31" s="303">
        <f>'2. Stationary combustion CO2'!I32</f>
        <v>0</v>
      </c>
      <c r="J31" s="540">
        <f t="shared" si="5"/>
        <v>0</v>
      </c>
      <c r="K31" s="301">
        <f>'2. Stationary combustion CO2'!K32</f>
        <v>0</v>
      </c>
      <c r="L31" s="161"/>
      <c r="M31" s="15"/>
      <c r="N31" s="164"/>
      <c r="O31" s="15"/>
      <c r="P31" s="69"/>
      <c r="Q31" s="571">
        <f t="shared" si="4"/>
        <v>0</v>
      </c>
      <c r="R31" s="546">
        <f t="shared" si="2"/>
        <v>0</v>
      </c>
    </row>
    <row r="32" spans="2:18" ht="18" customHeight="1" x14ac:dyDescent="0.25">
      <c r="B32" s="56">
        <f t="shared" si="3"/>
        <v>18</v>
      </c>
      <c r="C32" s="568" t="str">
        <f>IF(ISBLANK('2. Stationary combustion CO2'!C33)," ",'2. Stationary combustion CO2'!C33)</f>
        <v xml:space="preserve"> </v>
      </c>
      <c r="D32" s="567" t="str">
        <f>IF(ISBLANK('2. Stationary combustion CO2'!D33)," ",'2. Stationary combustion CO2'!D33)</f>
        <v xml:space="preserve"> </v>
      </c>
      <c r="E32" s="300">
        <f>'2. Stationary combustion CO2'!E33</f>
        <v>0</v>
      </c>
      <c r="F32" s="301">
        <f>'2. Stationary combustion CO2'!F33</f>
        <v>0</v>
      </c>
      <c r="G32" s="302">
        <f>'2. Stationary combustion CO2'!G33</f>
        <v>0</v>
      </c>
      <c r="H32" s="303">
        <f>'2. Stationary combustion CO2'!H33</f>
        <v>0</v>
      </c>
      <c r="I32" s="303">
        <f>'2. Stationary combustion CO2'!I33</f>
        <v>0</v>
      </c>
      <c r="J32" s="541">
        <f t="shared" si="5"/>
        <v>0</v>
      </c>
      <c r="K32" s="301">
        <f>'2. Stationary combustion CO2'!K33</f>
        <v>0</v>
      </c>
      <c r="L32" s="161"/>
      <c r="M32" s="15"/>
      <c r="N32" s="164"/>
      <c r="O32" s="15"/>
      <c r="P32" s="69"/>
      <c r="Q32" s="571">
        <f t="shared" si="4"/>
        <v>0</v>
      </c>
      <c r="R32" s="546">
        <f t="shared" si="2"/>
        <v>0</v>
      </c>
    </row>
    <row r="33" spans="2:18" ht="18" customHeight="1" x14ac:dyDescent="0.25">
      <c r="B33" s="56">
        <f t="shared" si="3"/>
        <v>19</v>
      </c>
      <c r="C33" s="568" t="str">
        <f>IF(ISBLANK('2. Stationary combustion CO2'!C34)," ",'2. Stationary combustion CO2'!C34)</f>
        <v xml:space="preserve"> </v>
      </c>
      <c r="D33" s="567" t="str">
        <f>IF(ISBLANK('2. Stationary combustion CO2'!D34)," ",'2. Stationary combustion CO2'!D34)</f>
        <v xml:space="preserve"> </v>
      </c>
      <c r="E33" s="300">
        <f>'2. Stationary combustion CO2'!E34</f>
        <v>0</v>
      </c>
      <c r="F33" s="301">
        <f>'2. Stationary combustion CO2'!F34</f>
        <v>0</v>
      </c>
      <c r="G33" s="302">
        <f>'2. Stationary combustion CO2'!G34</f>
        <v>0</v>
      </c>
      <c r="H33" s="303">
        <f>'2. Stationary combustion CO2'!H34</f>
        <v>0</v>
      </c>
      <c r="I33" s="303">
        <f>'2. Stationary combustion CO2'!I34</f>
        <v>0</v>
      </c>
      <c r="J33" s="540">
        <f t="shared" si="5"/>
        <v>0</v>
      </c>
      <c r="K33" s="301">
        <f>'2. Stationary combustion CO2'!K34</f>
        <v>0</v>
      </c>
      <c r="L33" s="161"/>
      <c r="M33" s="15"/>
      <c r="N33" s="164"/>
      <c r="O33" s="15"/>
      <c r="P33" s="69"/>
      <c r="Q33" s="571">
        <f t="shared" si="4"/>
        <v>0</v>
      </c>
      <c r="R33" s="546">
        <f t="shared" si="2"/>
        <v>0</v>
      </c>
    </row>
    <row r="34" spans="2:18" ht="18" customHeight="1" thickBot="1" x14ac:dyDescent="0.3">
      <c r="B34" s="57">
        <f t="shared" si="3"/>
        <v>20</v>
      </c>
      <c r="C34" s="569" t="str">
        <f>IF(ISBLANK('2. Stationary combustion CO2'!C35)," ",'2. Stationary combustion CO2'!C35)</f>
        <v xml:space="preserve"> </v>
      </c>
      <c r="D34" s="567" t="str">
        <f>IF(ISBLANK('2. Stationary combustion CO2'!D35)," ",'2. Stationary combustion CO2'!D35)</f>
        <v xml:space="preserve"> </v>
      </c>
      <c r="E34" s="300">
        <f>'2. Stationary combustion CO2'!E35</f>
        <v>0</v>
      </c>
      <c r="F34" s="301">
        <f>'2. Stationary combustion CO2'!F35</f>
        <v>0</v>
      </c>
      <c r="G34" s="302">
        <f>'2. Stationary combustion CO2'!G35</f>
        <v>0</v>
      </c>
      <c r="H34" s="303">
        <f>'2. Stationary combustion CO2'!H35</f>
        <v>0</v>
      </c>
      <c r="I34" s="303">
        <f>'2. Stationary combustion CO2'!I35</f>
        <v>0</v>
      </c>
      <c r="J34" s="541">
        <f t="shared" si="5"/>
        <v>0</v>
      </c>
      <c r="K34" s="301">
        <f>'2. Stationary combustion CO2'!K35</f>
        <v>0</v>
      </c>
      <c r="L34" s="162"/>
      <c r="M34" s="62"/>
      <c r="N34" s="165"/>
      <c r="O34" s="62"/>
      <c r="P34" s="70"/>
      <c r="Q34" s="572">
        <f t="shared" si="4"/>
        <v>0</v>
      </c>
      <c r="R34" s="548">
        <f t="shared" si="2"/>
        <v>0</v>
      </c>
    </row>
    <row r="35" spans="2:18" ht="18" customHeight="1" x14ac:dyDescent="0.35">
      <c r="B35" s="170" t="s">
        <v>169</v>
      </c>
    </row>
    <row r="36" spans="2:18" ht="18" customHeight="1" x14ac:dyDescent="0.25"/>
    <row r="37" spans="2:18" ht="18" customHeight="1" thickBot="1" x14ac:dyDescent="0.3">
      <c r="E37" s="159" t="s">
        <v>10</v>
      </c>
    </row>
    <row r="38" spans="2:18" ht="18" customHeight="1" x14ac:dyDescent="0.25">
      <c r="E38" s="113" t="s">
        <v>11</v>
      </c>
      <c r="F38" s="112"/>
      <c r="G38" s="111" t="s">
        <v>12</v>
      </c>
      <c r="H38" s="111"/>
      <c r="I38" s="111"/>
      <c r="J38" s="111"/>
      <c r="K38" s="112"/>
      <c r="L38" s="111" t="s">
        <v>13</v>
      </c>
      <c r="M38" s="111"/>
      <c r="N38" s="114" t="s">
        <v>14</v>
      </c>
      <c r="O38" s="111"/>
      <c r="P38" s="66" t="s">
        <v>15</v>
      </c>
      <c r="Q38" s="111" t="s">
        <v>16</v>
      </c>
      <c r="R38" s="112"/>
    </row>
    <row r="39" spans="2:18" ht="33.75" customHeight="1" x14ac:dyDescent="0.25">
      <c r="E39" s="58" t="s">
        <v>18</v>
      </c>
      <c r="F39" s="76" t="s">
        <v>19</v>
      </c>
      <c r="G39" s="74" t="s">
        <v>20</v>
      </c>
      <c r="H39" s="47" t="s">
        <v>21</v>
      </c>
      <c r="I39" s="46" t="s">
        <v>22</v>
      </c>
      <c r="J39" s="46" t="s">
        <v>23</v>
      </c>
      <c r="K39" s="72" t="s">
        <v>24</v>
      </c>
      <c r="L39" s="71" t="s">
        <v>25</v>
      </c>
      <c r="M39" s="47" t="s">
        <v>26</v>
      </c>
      <c r="N39" s="47" t="s">
        <v>27</v>
      </c>
      <c r="O39" s="47" t="s">
        <v>28</v>
      </c>
      <c r="P39" s="67" t="s">
        <v>29</v>
      </c>
      <c r="Q39" s="64" t="s">
        <v>30</v>
      </c>
      <c r="R39" s="59" t="s">
        <v>31</v>
      </c>
    </row>
    <row r="40" spans="2:18" ht="43.5" customHeight="1" thickBot="1" x14ac:dyDescent="0.35">
      <c r="B40" s="39" t="s">
        <v>170</v>
      </c>
      <c r="C40" s="33"/>
      <c r="D40" s="34"/>
      <c r="E40" s="60" t="s">
        <v>36</v>
      </c>
      <c r="F40" s="73" t="s">
        <v>37</v>
      </c>
      <c r="G40" s="75" t="s">
        <v>38</v>
      </c>
      <c r="H40" s="49" t="s">
        <v>39</v>
      </c>
      <c r="I40" s="49" t="s">
        <v>40</v>
      </c>
      <c r="J40" s="49" t="s">
        <v>41</v>
      </c>
      <c r="K40" s="73" t="s">
        <v>42</v>
      </c>
      <c r="L40" s="65" t="s">
        <v>159</v>
      </c>
      <c r="M40" s="50" t="s">
        <v>44</v>
      </c>
      <c r="N40" s="50" t="s">
        <v>160</v>
      </c>
      <c r="O40" s="50" t="s">
        <v>161</v>
      </c>
      <c r="P40" s="68" t="s">
        <v>46</v>
      </c>
      <c r="Q40" s="65" t="s">
        <v>162</v>
      </c>
      <c r="R40" s="61" t="s">
        <v>163</v>
      </c>
    </row>
    <row r="41" spans="2:18" ht="25.5" customHeight="1" thickBot="1" x14ac:dyDescent="0.3">
      <c r="B41" s="969" t="s">
        <v>171</v>
      </c>
      <c r="C41" s="970"/>
      <c r="D41" s="923" t="s">
        <v>54</v>
      </c>
      <c r="E41" s="77"/>
      <c r="F41" s="78"/>
      <c r="G41" s="79"/>
      <c r="H41" s="80"/>
      <c r="I41" s="80" t="s">
        <v>55</v>
      </c>
      <c r="J41" s="80" t="s">
        <v>56</v>
      </c>
      <c r="K41" s="78"/>
      <c r="L41" s="81"/>
      <c r="M41" s="82"/>
      <c r="N41" s="82"/>
      <c r="O41" s="82"/>
      <c r="P41" s="83"/>
      <c r="Q41" s="81" t="s">
        <v>165</v>
      </c>
      <c r="R41" s="84" t="s">
        <v>166</v>
      </c>
    </row>
    <row r="42" spans="2:18" ht="18" customHeight="1" thickBot="1" x14ac:dyDescent="0.3">
      <c r="B42" s="126">
        <v>0</v>
      </c>
      <c r="C42" s="139" t="str">
        <f>IF(ISBLANK('2. Stationary combustion CO2'!C44)," ",'2. Stationary combustion CO2'!C44)</f>
        <v>Source 1</v>
      </c>
      <c r="D42" s="144" t="str">
        <f>IF(ISBLANK('2. Stationary combustion CO2'!D44)," ",'2. Stationary combustion CO2'!D44)</f>
        <v>Landfill gas</v>
      </c>
      <c r="E42" s="145">
        <f>'2. Stationary combustion CO2'!E44</f>
        <v>500</v>
      </c>
      <c r="F42" s="129" t="str">
        <f>'2. Stationary combustion CO2'!F44</f>
        <v>kg</v>
      </c>
      <c r="G42" s="146">
        <f>'2. Stationary combustion CO2'!G44</f>
        <v>2.6800000000000001E-2</v>
      </c>
      <c r="H42" s="145" t="str">
        <f>'2. Stationary combustion CO2'!H44</f>
        <v>GJ/kg</v>
      </c>
      <c r="I42" s="127" t="str">
        <f>'2. Stationary combustion CO2'!I44</f>
        <v>NCV</v>
      </c>
      <c r="J42" s="147">
        <f t="shared" ref="J42:J51" si="6">E42*G42</f>
        <v>13.4</v>
      </c>
      <c r="K42" s="148" t="str">
        <f>'2. Stationary combustion CO2'!K44</f>
        <v>GJ</v>
      </c>
      <c r="L42" s="167">
        <v>1E-3</v>
      </c>
      <c r="M42" s="131" t="s">
        <v>167</v>
      </c>
      <c r="N42" s="166">
        <v>1E-4</v>
      </c>
      <c r="O42" s="133" t="s">
        <v>168</v>
      </c>
      <c r="P42" s="134">
        <v>1</v>
      </c>
      <c r="Q42" s="168">
        <f t="shared" ref="Q42:Q51" si="7">J42*L42*P42</f>
        <v>1.34E-2</v>
      </c>
      <c r="R42" s="169">
        <f t="shared" ref="R42:R51" si="8">J42*N42*P42</f>
        <v>1.34E-3</v>
      </c>
    </row>
    <row r="43" spans="2:18" ht="18" customHeight="1" x14ac:dyDescent="0.25">
      <c r="B43" s="40">
        <f t="shared" ref="B43:B51" si="9">B42+1</f>
        <v>1</v>
      </c>
      <c r="C43" s="573"/>
      <c r="D43" s="573"/>
      <c r="E43" s="574">
        <f>'2. Stationary combustion CO2'!E45</f>
        <v>0</v>
      </c>
      <c r="F43" s="574">
        <f>'2. Stationary combustion CO2'!F45</f>
        <v>0</v>
      </c>
      <c r="G43" s="574">
        <f>'2. Stationary combustion CO2'!G45</f>
        <v>0</v>
      </c>
      <c r="H43" s="574">
        <f>'2. Stationary combustion CO2'!H45</f>
        <v>0</v>
      </c>
      <c r="I43" s="574">
        <f>'2. Stationary combustion CO2'!I45</f>
        <v>0</v>
      </c>
      <c r="J43" s="541">
        <f t="shared" ref="J43" si="10">E43*G43</f>
        <v>0</v>
      </c>
      <c r="K43" s="574">
        <f>'2. Stationary combustion CO2'!K45</f>
        <v>0</v>
      </c>
      <c r="L43" s="24"/>
      <c r="M43" s="15"/>
      <c r="N43" s="24"/>
      <c r="O43" s="15"/>
      <c r="P43" s="96"/>
      <c r="Q43" s="575">
        <f t="shared" si="7"/>
        <v>0</v>
      </c>
      <c r="R43" s="575">
        <f t="shared" si="8"/>
        <v>0</v>
      </c>
    </row>
    <row r="44" spans="2:18" ht="18" customHeight="1" x14ac:dyDescent="0.25">
      <c r="B44" s="35">
        <f t="shared" si="9"/>
        <v>2</v>
      </c>
      <c r="C44" s="573" t="str">
        <f>IF(ISBLANK('2. Stationary combustion CO2'!C46)," ",'2. Stationary combustion CO2'!C46)</f>
        <v xml:space="preserve"> </v>
      </c>
      <c r="D44" s="573" t="str">
        <f>IF(ISBLANK('2. Stationary combustion CO2'!D46)," ",'2. Stationary combustion CO2'!D46)</f>
        <v xml:space="preserve"> </v>
      </c>
      <c r="E44" s="574">
        <f>'2. Stationary combustion CO2'!E46</f>
        <v>0</v>
      </c>
      <c r="F44" s="574">
        <f>'2. Stationary combustion CO2'!F46</f>
        <v>0</v>
      </c>
      <c r="G44" s="574">
        <f>'2. Stationary combustion CO2'!G46</f>
        <v>0</v>
      </c>
      <c r="H44" s="574">
        <f>'2. Stationary combustion CO2'!H46</f>
        <v>0</v>
      </c>
      <c r="I44" s="574">
        <f>'2. Stationary combustion CO2'!I46</f>
        <v>0</v>
      </c>
      <c r="J44" s="541">
        <f t="shared" si="6"/>
        <v>0</v>
      </c>
      <c r="K44" s="574">
        <f>'2. Stationary combustion CO2'!K46</f>
        <v>0</v>
      </c>
      <c r="L44" s="24"/>
      <c r="M44" s="15"/>
      <c r="N44" s="24"/>
      <c r="O44" s="15"/>
      <c r="P44" s="18"/>
      <c r="Q44" s="575">
        <f t="shared" si="7"/>
        <v>0</v>
      </c>
      <c r="R44" s="575">
        <f t="shared" si="8"/>
        <v>0</v>
      </c>
    </row>
    <row r="45" spans="2:18" ht="18" customHeight="1" x14ac:dyDescent="0.25">
      <c r="B45" s="35">
        <f t="shared" si="9"/>
        <v>3</v>
      </c>
      <c r="C45" s="573" t="str">
        <f>IF(ISBLANK('2. Stationary combustion CO2'!C47)," ",'2. Stationary combustion CO2'!C47)</f>
        <v xml:space="preserve"> </v>
      </c>
      <c r="D45" s="573" t="str">
        <f>IF(ISBLANK('2. Stationary combustion CO2'!D47)," ",'2. Stationary combustion CO2'!D47)</f>
        <v xml:space="preserve"> </v>
      </c>
      <c r="E45" s="574">
        <f>'2. Stationary combustion CO2'!E47</f>
        <v>0</v>
      </c>
      <c r="F45" s="574">
        <f>'2. Stationary combustion CO2'!F47</f>
        <v>0</v>
      </c>
      <c r="G45" s="574">
        <f>'2. Stationary combustion CO2'!G47</f>
        <v>0</v>
      </c>
      <c r="H45" s="574">
        <f>'2. Stationary combustion CO2'!H47</f>
        <v>0</v>
      </c>
      <c r="I45" s="574">
        <f>'2. Stationary combustion CO2'!I47</f>
        <v>0</v>
      </c>
      <c r="J45" s="541">
        <f t="shared" si="6"/>
        <v>0</v>
      </c>
      <c r="K45" s="574">
        <f>'2. Stationary combustion CO2'!K47</f>
        <v>0</v>
      </c>
      <c r="L45" s="581"/>
      <c r="M45" s="15"/>
      <c r="N45" s="24"/>
      <c r="O45" s="15"/>
      <c r="P45" s="18"/>
      <c r="Q45" s="575">
        <f t="shared" si="7"/>
        <v>0</v>
      </c>
      <c r="R45" s="575">
        <f t="shared" si="8"/>
        <v>0</v>
      </c>
    </row>
    <row r="46" spans="2:18" ht="18" customHeight="1" x14ac:dyDescent="0.25">
      <c r="B46" s="35">
        <f t="shared" si="9"/>
        <v>4</v>
      </c>
      <c r="C46" s="573" t="str">
        <f>IF(ISBLANK('2. Stationary combustion CO2'!C48)," ",'2. Stationary combustion CO2'!C48)</f>
        <v xml:space="preserve"> </v>
      </c>
      <c r="D46" s="573" t="str">
        <f>IF(ISBLANK('2. Stationary combustion CO2'!D48)," ",'2. Stationary combustion CO2'!D48)</f>
        <v xml:space="preserve"> </v>
      </c>
      <c r="E46" s="574">
        <f>'2. Stationary combustion CO2'!E48</f>
        <v>0</v>
      </c>
      <c r="F46" s="574">
        <f>'2. Stationary combustion CO2'!F48</f>
        <v>0</v>
      </c>
      <c r="G46" s="574">
        <f>'2. Stationary combustion CO2'!G48</f>
        <v>0</v>
      </c>
      <c r="H46" s="574">
        <f>'2. Stationary combustion CO2'!H48</f>
        <v>0</v>
      </c>
      <c r="I46" s="574">
        <f>'2. Stationary combustion CO2'!I48</f>
        <v>0</v>
      </c>
      <c r="J46" s="541">
        <f t="shared" si="6"/>
        <v>0</v>
      </c>
      <c r="K46" s="574">
        <f>'2. Stationary combustion CO2'!K48</f>
        <v>0</v>
      </c>
      <c r="L46" s="24"/>
      <c r="M46" s="15"/>
      <c r="N46" s="24"/>
      <c r="O46" s="15"/>
      <c r="P46" s="18"/>
      <c r="Q46" s="575">
        <f t="shared" si="7"/>
        <v>0</v>
      </c>
      <c r="R46" s="575">
        <f t="shared" si="8"/>
        <v>0</v>
      </c>
    </row>
    <row r="47" spans="2:18" ht="18" customHeight="1" x14ac:dyDescent="0.25">
      <c r="B47" s="35">
        <f t="shared" si="9"/>
        <v>5</v>
      </c>
      <c r="C47" s="573" t="str">
        <f>IF(ISBLANK('2. Stationary combustion CO2'!C49)," ",'2. Stationary combustion CO2'!C49)</f>
        <v xml:space="preserve"> </v>
      </c>
      <c r="D47" s="573" t="str">
        <f>IF(ISBLANK('2. Stationary combustion CO2'!D49)," ",'2. Stationary combustion CO2'!D49)</f>
        <v xml:space="preserve"> </v>
      </c>
      <c r="E47" s="574">
        <f>'2. Stationary combustion CO2'!E49</f>
        <v>0</v>
      </c>
      <c r="F47" s="574">
        <f>'2. Stationary combustion CO2'!F49</f>
        <v>0</v>
      </c>
      <c r="G47" s="574">
        <f>'2. Stationary combustion CO2'!G49</f>
        <v>0</v>
      </c>
      <c r="H47" s="574">
        <f>'2. Stationary combustion CO2'!H49</f>
        <v>0</v>
      </c>
      <c r="I47" s="574">
        <f>'2. Stationary combustion CO2'!I49</f>
        <v>0</v>
      </c>
      <c r="J47" s="541">
        <f t="shared" si="6"/>
        <v>0</v>
      </c>
      <c r="K47" s="574">
        <f>'2. Stationary combustion CO2'!K49</f>
        <v>0</v>
      </c>
      <c r="L47" s="24"/>
      <c r="M47" s="15"/>
      <c r="N47" s="24"/>
      <c r="O47" s="15"/>
      <c r="P47" s="18"/>
      <c r="Q47" s="575">
        <f t="shared" si="7"/>
        <v>0</v>
      </c>
      <c r="R47" s="575">
        <f t="shared" si="8"/>
        <v>0</v>
      </c>
    </row>
    <row r="48" spans="2:18" ht="18" customHeight="1" x14ac:dyDescent="0.25">
      <c r="B48" s="35">
        <f t="shared" si="9"/>
        <v>6</v>
      </c>
      <c r="C48" s="573" t="str">
        <f>IF(ISBLANK('2. Stationary combustion CO2'!C50)," ",'2. Stationary combustion CO2'!C50)</f>
        <v xml:space="preserve"> </v>
      </c>
      <c r="D48" s="573" t="str">
        <f>IF(ISBLANK('2. Stationary combustion CO2'!D50)," ",'2. Stationary combustion CO2'!D50)</f>
        <v xml:space="preserve"> </v>
      </c>
      <c r="E48" s="574">
        <f>'2. Stationary combustion CO2'!E50</f>
        <v>0</v>
      </c>
      <c r="F48" s="574">
        <f>'2. Stationary combustion CO2'!F50</f>
        <v>0</v>
      </c>
      <c r="G48" s="574">
        <f>'2. Stationary combustion CO2'!G50</f>
        <v>0</v>
      </c>
      <c r="H48" s="574">
        <f>'2. Stationary combustion CO2'!H50</f>
        <v>0</v>
      </c>
      <c r="I48" s="574">
        <f>'2. Stationary combustion CO2'!I50</f>
        <v>0</v>
      </c>
      <c r="J48" s="541">
        <f t="shared" si="6"/>
        <v>0</v>
      </c>
      <c r="K48" s="574">
        <f>'2. Stationary combustion CO2'!K50</f>
        <v>0</v>
      </c>
      <c r="L48" s="24"/>
      <c r="M48" s="15"/>
      <c r="N48" s="24"/>
      <c r="O48" s="15"/>
      <c r="P48" s="18"/>
      <c r="Q48" s="575">
        <f t="shared" si="7"/>
        <v>0</v>
      </c>
      <c r="R48" s="575">
        <f t="shared" si="8"/>
        <v>0</v>
      </c>
    </row>
    <row r="49" spans="2:18" ht="18" customHeight="1" x14ac:dyDescent="0.25">
      <c r="B49" s="35">
        <f t="shared" si="9"/>
        <v>7</v>
      </c>
      <c r="C49" s="573" t="str">
        <f>IF(ISBLANK('2. Stationary combustion CO2'!C51)," ",'2. Stationary combustion CO2'!C51)</f>
        <v xml:space="preserve"> </v>
      </c>
      <c r="D49" s="573" t="str">
        <f>IF(ISBLANK('2. Stationary combustion CO2'!D51)," ",'2. Stationary combustion CO2'!D51)</f>
        <v xml:space="preserve"> </v>
      </c>
      <c r="E49" s="574">
        <f>'2. Stationary combustion CO2'!E51</f>
        <v>0</v>
      </c>
      <c r="F49" s="574">
        <f>'2. Stationary combustion CO2'!F51</f>
        <v>0</v>
      </c>
      <c r="G49" s="574">
        <f>'2. Stationary combustion CO2'!G51</f>
        <v>0</v>
      </c>
      <c r="H49" s="574">
        <f>'2. Stationary combustion CO2'!H51</f>
        <v>0</v>
      </c>
      <c r="I49" s="574">
        <f>'2. Stationary combustion CO2'!I51</f>
        <v>0</v>
      </c>
      <c r="J49" s="541">
        <f t="shared" si="6"/>
        <v>0</v>
      </c>
      <c r="K49" s="574">
        <f>'2. Stationary combustion CO2'!K51</f>
        <v>0</v>
      </c>
      <c r="L49" s="24"/>
      <c r="M49" s="15"/>
      <c r="N49" s="24"/>
      <c r="O49" s="15"/>
      <c r="P49" s="18"/>
      <c r="Q49" s="575">
        <f t="shared" si="7"/>
        <v>0</v>
      </c>
      <c r="R49" s="575">
        <f t="shared" si="8"/>
        <v>0</v>
      </c>
    </row>
    <row r="50" spans="2:18" ht="18" customHeight="1" x14ac:dyDescent="0.25">
      <c r="B50" s="35">
        <f t="shared" si="9"/>
        <v>8</v>
      </c>
      <c r="C50" s="573" t="str">
        <f>IF(ISBLANK('2. Stationary combustion CO2'!C52)," ",'2. Stationary combustion CO2'!C52)</f>
        <v xml:space="preserve"> </v>
      </c>
      <c r="D50" s="573" t="str">
        <f>IF(ISBLANK('2. Stationary combustion CO2'!D52)," ",'2. Stationary combustion CO2'!D52)</f>
        <v xml:space="preserve"> </v>
      </c>
      <c r="E50" s="574">
        <f>'2. Stationary combustion CO2'!E52</f>
        <v>0</v>
      </c>
      <c r="F50" s="574">
        <f>'2. Stationary combustion CO2'!F52</f>
        <v>0</v>
      </c>
      <c r="G50" s="574">
        <f>'2. Stationary combustion CO2'!G52</f>
        <v>0</v>
      </c>
      <c r="H50" s="574">
        <f>'2. Stationary combustion CO2'!H52</f>
        <v>0</v>
      </c>
      <c r="I50" s="574">
        <f>'2. Stationary combustion CO2'!I52</f>
        <v>0</v>
      </c>
      <c r="J50" s="541">
        <f t="shared" si="6"/>
        <v>0</v>
      </c>
      <c r="K50" s="574">
        <f>'2. Stationary combustion CO2'!K52</f>
        <v>0</v>
      </c>
      <c r="L50" s="24"/>
      <c r="M50" s="15"/>
      <c r="N50" s="24"/>
      <c r="O50" s="15"/>
      <c r="P50" s="18"/>
      <c r="Q50" s="575">
        <f t="shared" si="7"/>
        <v>0</v>
      </c>
      <c r="R50" s="575">
        <f t="shared" si="8"/>
        <v>0</v>
      </c>
    </row>
    <row r="51" spans="2:18" ht="18" customHeight="1" x14ac:dyDescent="0.25">
      <c r="B51" s="35">
        <f t="shared" si="9"/>
        <v>9</v>
      </c>
      <c r="C51" s="573" t="str">
        <f>IF(ISBLANK('2. Stationary combustion CO2'!C53)," ",'2. Stationary combustion CO2'!C53)</f>
        <v xml:space="preserve"> </v>
      </c>
      <c r="D51" s="573" t="str">
        <f>IF(ISBLANK('2. Stationary combustion CO2'!D53)," ",'2. Stationary combustion CO2'!D53)</f>
        <v xml:space="preserve"> </v>
      </c>
      <c r="E51" s="574">
        <f>'2. Stationary combustion CO2'!E53</f>
        <v>0</v>
      </c>
      <c r="F51" s="574">
        <f>'2. Stationary combustion CO2'!F53</f>
        <v>0</v>
      </c>
      <c r="G51" s="574">
        <f>'2. Stationary combustion CO2'!G53</f>
        <v>0</v>
      </c>
      <c r="H51" s="574">
        <f>'2. Stationary combustion CO2'!H53</f>
        <v>0</v>
      </c>
      <c r="I51" s="574">
        <f>'2. Stationary combustion CO2'!I53</f>
        <v>0</v>
      </c>
      <c r="J51" s="541">
        <f t="shared" si="6"/>
        <v>0</v>
      </c>
      <c r="K51" s="574">
        <f>'2. Stationary combustion CO2'!K53</f>
        <v>0</v>
      </c>
      <c r="L51" s="24"/>
      <c r="M51" s="15"/>
      <c r="N51" s="24"/>
      <c r="O51" s="15"/>
      <c r="P51" s="18"/>
      <c r="Q51" s="575">
        <f t="shared" si="7"/>
        <v>0</v>
      </c>
      <c r="R51" s="575">
        <f t="shared" si="8"/>
        <v>0</v>
      </c>
    </row>
    <row r="52" spans="2:18" ht="18" customHeight="1" x14ac:dyDescent="0.35">
      <c r="B52" s="170" t="s">
        <v>172</v>
      </c>
      <c r="C52" s="912"/>
      <c r="D52" s="913"/>
      <c r="E52" s="913"/>
    </row>
    <row r="53" spans="2:18" ht="37.5" customHeight="1" x14ac:dyDescent="0.25">
      <c r="B53" s="55" t="s">
        <v>71</v>
      </c>
      <c r="P53" s="239" t="s">
        <v>173</v>
      </c>
      <c r="Q53" s="576">
        <f>SUM(Q15:Q34,Q43:Q51)</f>
        <v>0</v>
      </c>
      <c r="R53" s="576">
        <f>SUM(R15:R34,R43:R51)</f>
        <v>0</v>
      </c>
    </row>
    <row r="54" spans="2:18" ht="18" customHeight="1" x14ac:dyDescent="0.25"/>
    <row r="55" spans="2:18" ht="18" customHeight="1" x14ac:dyDescent="0.25"/>
    <row r="56" spans="2:18" ht="18" customHeight="1" x14ac:dyDescent="0.25"/>
    <row r="57" spans="2:18" ht="18" customHeight="1" x14ac:dyDescent="0.25"/>
    <row r="58" spans="2:18" ht="18" customHeight="1" x14ac:dyDescent="0.25"/>
    <row r="59" spans="2:18" ht="18" customHeight="1" x14ac:dyDescent="0.25"/>
    <row r="60" spans="2:18" ht="18" customHeight="1" x14ac:dyDescent="0.25"/>
    <row r="61" spans="2:18" ht="18" customHeight="1" x14ac:dyDescent="0.25"/>
    <row r="62" spans="2:18" ht="18" customHeight="1" x14ac:dyDescent="0.25"/>
  </sheetData>
  <sheetProtection algorithmName="SHA-512" hashValue="iY6BVziat27c9g4C5HU47igfZ8bzqSOmQMAtxFUWFIj8QomjS/6tqEpFZW8vSpD0iYY9nFWEW2TYxwvNL0XOfg==" saltValue="CYKWCYL6PTxkOevj51S8Aw==" spinCount="100000" sheet="1" objects="1" scenarios="1"/>
  <mergeCells count="7">
    <mergeCell ref="B41:C41"/>
    <mergeCell ref="B13:C13"/>
    <mergeCell ref="G10:K10"/>
    <mergeCell ref="Q10:R10"/>
    <mergeCell ref="E10:F10"/>
    <mergeCell ref="L10:M10"/>
    <mergeCell ref="N10:O10"/>
  </mergeCells>
  <phoneticPr fontId="0" type="noConversion"/>
  <conditionalFormatting sqref="E15:I34 K15:K34 E42:I51 K42:K51">
    <cfRule type="cellIs" dxfId="0" priority="1" stopIfTrue="1" operator="equal">
      <formula>0</formula>
    </cfRule>
  </conditionalFormatting>
  <pageMargins left="0.5" right="0.5" top="1" bottom="1" header="0.5" footer="0.5"/>
  <pageSetup paperSize="3" scale="45" orientation="landscape"/>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2EF6D-E67B-4A2A-9ADD-2591BFA41E7D}">
  <sheetPr>
    <tabColor rgb="FF00C6B9"/>
  </sheetPr>
  <dimension ref="B1:R99"/>
  <sheetViews>
    <sheetView showGridLines="0" zoomScaleNormal="100" workbookViewId="0"/>
  </sheetViews>
  <sheetFormatPr defaultRowHeight="13.2" x14ac:dyDescent="0.25"/>
  <cols>
    <col min="1" max="1" width="9.109375" customWidth="1"/>
    <col min="2" max="2" width="16.88671875" style="116" customWidth="1"/>
    <col min="3" max="3" width="38.44140625" style="13" customWidth="1"/>
    <col min="4" max="4" width="5.33203125" style="13" customWidth="1"/>
    <col min="5" max="5" width="18.44140625" style="116" customWidth="1"/>
    <col min="6" max="6" width="13.44140625" style="116" customWidth="1"/>
    <col min="7" max="7" width="14.6640625" style="116" customWidth="1"/>
    <col min="8" max="8" width="12.6640625" style="116" customWidth="1"/>
    <col min="9" max="9" width="15" style="116" customWidth="1"/>
    <col min="10" max="10" width="19.109375" style="116" customWidth="1"/>
    <col min="11" max="11" width="16" style="116" customWidth="1"/>
    <col min="12" max="12" width="13.44140625" style="116" customWidth="1"/>
    <col min="13" max="13" width="14" style="116" customWidth="1"/>
    <col min="14" max="14" width="14.88671875" style="116" customWidth="1"/>
    <col min="15" max="16" width="12.6640625" style="116" customWidth="1"/>
    <col min="17" max="17" width="13.33203125" style="116" customWidth="1"/>
    <col min="18" max="18" width="13.109375" style="116" customWidth="1"/>
    <col min="19" max="19" width="12.33203125" customWidth="1"/>
  </cols>
  <sheetData>
    <row r="1" spans="2:18" ht="18" x14ac:dyDescent="0.25">
      <c r="B1" s="262" t="s">
        <v>174</v>
      </c>
      <c r="C1" s="171"/>
      <c r="G1" s="244"/>
      <c r="H1" s="244"/>
      <c r="I1" s="244"/>
      <c r="J1" s="245"/>
      <c r="K1" s="245"/>
      <c r="L1" s="245"/>
      <c r="M1" s="245"/>
      <c r="N1" s="245"/>
      <c r="O1" s="246"/>
      <c r="P1" s="246"/>
      <c r="Q1" s="246"/>
    </row>
    <row r="3" spans="2:18" ht="18.600000000000001" x14ac:dyDescent="0.25">
      <c r="B3" s="263" t="s">
        <v>175</v>
      </c>
      <c r="C3" s="171"/>
      <c r="G3" s="244"/>
      <c r="H3" s="244"/>
      <c r="I3" s="244"/>
      <c r="J3" s="245"/>
      <c r="K3" s="245"/>
      <c r="L3" s="245"/>
      <c r="M3" s="245"/>
      <c r="N3" s="245"/>
      <c r="O3" s="246"/>
      <c r="P3" s="246"/>
      <c r="Q3" s="246"/>
    </row>
    <row r="4" spans="2:18" ht="15" x14ac:dyDescent="0.25">
      <c r="B4" s="264" t="s">
        <v>81</v>
      </c>
    </row>
    <row r="5" spans="2:18" ht="15" x14ac:dyDescent="0.25">
      <c r="B5" s="264" t="s">
        <v>82</v>
      </c>
      <c r="H5"/>
      <c r="I5"/>
      <c r="J5"/>
      <c r="K5"/>
      <c r="L5"/>
      <c r="M5"/>
      <c r="N5"/>
      <c r="O5"/>
    </row>
    <row r="6" spans="2:18" x14ac:dyDescent="0.25">
      <c r="H6"/>
      <c r="I6"/>
      <c r="J6"/>
      <c r="K6"/>
      <c r="L6"/>
      <c r="M6"/>
      <c r="N6"/>
      <c r="O6"/>
    </row>
    <row r="7" spans="2:18" ht="15.6" thickBot="1" x14ac:dyDescent="0.3">
      <c r="B7" s="265" t="s">
        <v>176</v>
      </c>
      <c r="H7"/>
      <c r="I7"/>
      <c r="J7"/>
      <c r="K7"/>
      <c r="L7"/>
      <c r="M7"/>
      <c r="N7"/>
      <c r="O7"/>
    </row>
    <row r="8" spans="2:18" ht="31.5" customHeight="1" thickBot="1" x14ac:dyDescent="0.3">
      <c r="E8" s="1003" t="s">
        <v>177</v>
      </c>
      <c r="F8" s="1004"/>
      <c r="G8" s="1004"/>
      <c r="H8" s="1004"/>
      <c r="I8" s="1005"/>
      <c r="J8" s="998" t="s">
        <v>178</v>
      </c>
      <c r="K8" s="999"/>
      <c r="L8" s="999"/>
      <c r="M8" s="999"/>
      <c r="N8" s="1000"/>
      <c r="P8"/>
      <c r="Q8"/>
      <c r="R8"/>
    </row>
    <row r="9" spans="2:18" ht="13.5" customHeight="1" x14ac:dyDescent="0.25">
      <c r="B9" s="938" t="s">
        <v>83</v>
      </c>
      <c r="C9" s="991"/>
      <c r="D9" s="996" t="s">
        <v>84</v>
      </c>
      <c r="E9" s="1001" t="s">
        <v>179</v>
      </c>
      <c r="F9" s="1006" t="s">
        <v>180</v>
      </c>
      <c r="G9" s="1007"/>
      <c r="H9" s="1006" t="s">
        <v>181</v>
      </c>
      <c r="I9" s="1007"/>
      <c r="J9" s="1001" t="s">
        <v>179</v>
      </c>
      <c r="K9" s="1006" t="s">
        <v>180</v>
      </c>
      <c r="L9" s="1007"/>
      <c r="M9" s="1006" t="s">
        <v>181</v>
      </c>
      <c r="N9" s="1007"/>
      <c r="P9"/>
      <c r="Q9"/>
      <c r="R9"/>
    </row>
    <row r="10" spans="2:18" ht="15" customHeight="1" thickBot="1" x14ac:dyDescent="0.3">
      <c r="B10" s="992"/>
      <c r="C10" s="993"/>
      <c r="D10" s="997"/>
      <c r="E10" s="1002"/>
      <c r="F10" s="1008"/>
      <c r="G10" s="1009"/>
      <c r="H10" s="1008"/>
      <c r="I10" s="1009"/>
      <c r="J10" s="1002"/>
      <c r="K10" s="1008"/>
      <c r="L10" s="1009"/>
      <c r="M10" s="1008"/>
      <c r="N10" s="1009"/>
      <c r="P10"/>
      <c r="Q10"/>
      <c r="R10"/>
    </row>
    <row r="11" spans="2:18" s="154" customFormat="1" ht="16.8" thickBot="1" x14ac:dyDescent="0.3">
      <c r="B11" s="994"/>
      <c r="C11" s="995"/>
      <c r="D11" s="997"/>
      <c r="E11" s="249" t="s">
        <v>182</v>
      </c>
      <c r="F11" s="256" t="s">
        <v>183</v>
      </c>
      <c r="G11" s="320" t="s">
        <v>184</v>
      </c>
      <c r="H11" s="257" t="s">
        <v>183</v>
      </c>
      <c r="I11" s="321" t="s">
        <v>184</v>
      </c>
      <c r="J11" s="250" t="s">
        <v>182</v>
      </c>
      <c r="K11" s="251" t="s">
        <v>183</v>
      </c>
      <c r="L11" s="322" t="s">
        <v>184</v>
      </c>
      <c r="M11" s="251" t="s">
        <v>183</v>
      </c>
      <c r="N11" s="322" t="s">
        <v>184</v>
      </c>
    </row>
    <row r="12" spans="2:18" ht="14.25" customHeight="1" x14ac:dyDescent="0.25">
      <c r="B12" s="989" t="s">
        <v>95</v>
      </c>
      <c r="C12" s="379" t="s">
        <v>96</v>
      </c>
      <c r="D12" s="386">
        <v>1</v>
      </c>
      <c r="E12" s="323">
        <v>42.3</v>
      </c>
      <c r="F12" s="266">
        <v>3</v>
      </c>
      <c r="G12" s="266">
        <v>0.6</v>
      </c>
      <c r="H12" s="267">
        <f>E12*F12/1000</f>
        <v>0.12689999999999999</v>
      </c>
      <c r="I12" s="267">
        <f t="shared" ref="I12:I50" si="0">G12*E12/1000</f>
        <v>2.538E-2</v>
      </c>
      <c r="J12" s="268">
        <f t="shared" ref="J12:J22" si="1">E12/0.95</f>
        <v>44.526315789473685</v>
      </c>
      <c r="K12" s="269">
        <f t="shared" ref="K12:K44" si="2">F12*95%</f>
        <v>2.8499999999999996</v>
      </c>
      <c r="L12" s="269">
        <f t="shared" ref="L12:L44" si="3">G12*95%</f>
        <v>0.56999999999999995</v>
      </c>
      <c r="M12" s="269">
        <f t="shared" ref="M12:M50" si="4">K12*$J12/1000</f>
        <v>0.12689999999999999</v>
      </c>
      <c r="N12" s="270">
        <f t="shared" ref="N12:N50" si="5">L12*$J12/1000</f>
        <v>2.538E-2</v>
      </c>
      <c r="P12"/>
      <c r="Q12"/>
      <c r="R12" s="11"/>
    </row>
    <row r="13" spans="2:18" ht="15.6" x14ac:dyDescent="0.25">
      <c r="B13" s="979"/>
      <c r="C13" s="380" t="s">
        <v>97</v>
      </c>
      <c r="D13" s="387">
        <v>1</v>
      </c>
      <c r="E13" s="247">
        <v>27.5</v>
      </c>
      <c r="F13" s="255">
        <v>3</v>
      </c>
      <c r="G13" s="255">
        <v>0.6</v>
      </c>
      <c r="H13" s="260">
        <f t="shared" ref="H13:H50" si="6">E13*F13/1000</f>
        <v>8.2500000000000004E-2</v>
      </c>
      <c r="I13" s="260">
        <f t="shared" si="0"/>
        <v>1.6500000000000001E-2</v>
      </c>
      <c r="J13" s="253">
        <f t="shared" si="1"/>
        <v>28.947368421052634</v>
      </c>
      <c r="K13" s="258">
        <f t="shared" si="2"/>
        <v>2.8499999999999996</v>
      </c>
      <c r="L13" s="258">
        <f t="shared" si="3"/>
        <v>0.56999999999999995</v>
      </c>
      <c r="M13" s="258">
        <f t="shared" si="4"/>
        <v>8.2500000000000004E-2</v>
      </c>
      <c r="N13" s="271">
        <f t="shared" si="5"/>
        <v>1.6500000000000001E-2</v>
      </c>
      <c r="P13"/>
      <c r="Q13"/>
      <c r="R13" s="11"/>
    </row>
    <row r="14" spans="2:18" ht="15.6" x14ac:dyDescent="0.25">
      <c r="B14" s="979"/>
      <c r="C14" s="380" t="s">
        <v>98</v>
      </c>
      <c r="D14" s="387">
        <v>1</v>
      </c>
      <c r="E14" s="247">
        <v>44.2</v>
      </c>
      <c r="F14" s="255">
        <v>3</v>
      </c>
      <c r="G14" s="255">
        <v>0.6</v>
      </c>
      <c r="H14" s="260">
        <f t="shared" si="6"/>
        <v>0.13260000000000002</v>
      </c>
      <c r="I14" s="260">
        <f t="shared" si="0"/>
        <v>2.6519999999999998E-2</v>
      </c>
      <c r="J14" s="253">
        <f t="shared" si="1"/>
        <v>46.526315789473692</v>
      </c>
      <c r="K14" s="258">
        <f t="shared" si="2"/>
        <v>2.8499999999999996</v>
      </c>
      <c r="L14" s="258">
        <f t="shared" si="3"/>
        <v>0.56999999999999995</v>
      </c>
      <c r="M14" s="258">
        <f t="shared" si="4"/>
        <v>0.1326</v>
      </c>
      <c r="N14" s="271">
        <f t="shared" si="5"/>
        <v>2.6520000000000002E-2</v>
      </c>
      <c r="P14"/>
      <c r="Q14"/>
      <c r="R14" s="11"/>
    </row>
    <row r="15" spans="2:18" ht="15.6" x14ac:dyDescent="0.25">
      <c r="B15" s="979"/>
      <c r="C15" s="380" t="s">
        <v>99</v>
      </c>
      <c r="D15" s="387">
        <v>1</v>
      </c>
      <c r="E15" s="247">
        <v>44.3</v>
      </c>
      <c r="F15" s="255">
        <v>3</v>
      </c>
      <c r="G15" s="255">
        <v>0.6</v>
      </c>
      <c r="H15" s="260">
        <f t="shared" si="6"/>
        <v>0.13289999999999999</v>
      </c>
      <c r="I15" s="260">
        <f t="shared" si="0"/>
        <v>2.6579999999999999E-2</v>
      </c>
      <c r="J15" s="253">
        <f t="shared" si="1"/>
        <v>46.631578947368418</v>
      </c>
      <c r="K15" s="258">
        <f t="shared" si="2"/>
        <v>2.8499999999999996</v>
      </c>
      <c r="L15" s="258">
        <f t="shared" si="3"/>
        <v>0.56999999999999995</v>
      </c>
      <c r="M15" s="258">
        <f t="shared" si="4"/>
        <v>0.13289999999999999</v>
      </c>
      <c r="N15" s="271">
        <f>L15*$J15/1000</f>
        <v>2.6579999999999996E-2</v>
      </c>
      <c r="P15"/>
      <c r="Q15"/>
      <c r="R15" s="11"/>
    </row>
    <row r="16" spans="2:18" ht="15.6" x14ac:dyDescent="0.25">
      <c r="B16" s="979"/>
      <c r="C16" s="380" t="s">
        <v>100</v>
      </c>
      <c r="D16" s="387">
        <v>1</v>
      </c>
      <c r="E16" s="247">
        <v>44.3</v>
      </c>
      <c r="F16" s="255">
        <v>3</v>
      </c>
      <c r="G16" s="255">
        <v>0.6</v>
      </c>
      <c r="H16" s="260">
        <f t="shared" si="6"/>
        <v>0.13289999999999999</v>
      </c>
      <c r="I16" s="260">
        <f t="shared" si="0"/>
        <v>2.6579999999999999E-2</v>
      </c>
      <c r="J16" s="253">
        <f t="shared" si="1"/>
        <v>46.631578947368418</v>
      </c>
      <c r="K16" s="258">
        <f t="shared" si="2"/>
        <v>2.8499999999999996</v>
      </c>
      <c r="L16" s="258">
        <f t="shared" si="3"/>
        <v>0.56999999999999995</v>
      </c>
      <c r="M16" s="258">
        <f t="shared" si="4"/>
        <v>0.13289999999999999</v>
      </c>
      <c r="N16" s="271">
        <f t="shared" si="5"/>
        <v>2.6579999999999996E-2</v>
      </c>
      <c r="P16"/>
      <c r="Q16"/>
      <c r="R16" s="11"/>
    </row>
    <row r="17" spans="2:18" ht="15.6" x14ac:dyDescent="0.25">
      <c r="B17" s="979"/>
      <c r="C17" s="380" t="s">
        <v>101</v>
      </c>
      <c r="D17" s="387">
        <v>1</v>
      </c>
      <c r="E17" s="247">
        <v>44.3</v>
      </c>
      <c r="F17" s="255">
        <v>3</v>
      </c>
      <c r="G17" s="255">
        <v>0.6</v>
      </c>
      <c r="H17" s="260">
        <f t="shared" si="6"/>
        <v>0.13289999999999999</v>
      </c>
      <c r="I17" s="260">
        <f t="shared" si="0"/>
        <v>2.6579999999999999E-2</v>
      </c>
      <c r="J17" s="253">
        <f t="shared" si="1"/>
        <v>46.631578947368418</v>
      </c>
      <c r="K17" s="258">
        <f t="shared" si="2"/>
        <v>2.8499999999999996</v>
      </c>
      <c r="L17" s="258">
        <f t="shared" si="3"/>
        <v>0.56999999999999995</v>
      </c>
      <c r="M17" s="258">
        <f t="shared" si="4"/>
        <v>0.13289999999999999</v>
      </c>
      <c r="N17" s="271">
        <f t="shared" si="5"/>
        <v>2.6579999999999996E-2</v>
      </c>
      <c r="P17"/>
      <c r="Q17"/>
      <c r="R17" s="11"/>
    </row>
    <row r="18" spans="2:18" ht="15.6" x14ac:dyDescent="0.25">
      <c r="B18" s="979"/>
      <c r="C18" s="380" t="s">
        <v>102</v>
      </c>
      <c r="D18" s="387">
        <v>1</v>
      </c>
      <c r="E18" s="247">
        <v>44.1</v>
      </c>
      <c r="F18" s="255">
        <v>3</v>
      </c>
      <c r="G18" s="255">
        <v>0.6</v>
      </c>
      <c r="H18" s="260">
        <f t="shared" si="6"/>
        <v>0.1323</v>
      </c>
      <c r="I18" s="260">
        <f t="shared" si="0"/>
        <v>2.6460000000000001E-2</v>
      </c>
      <c r="J18" s="253">
        <f t="shared" si="1"/>
        <v>46.421052631578952</v>
      </c>
      <c r="K18" s="258">
        <f t="shared" si="2"/>
        <v>2.8499999999999996</v>
      </c>
      <c r="L18" s="258">
        <f t="shared" si="3"/>
        <v>0.56999999999999995</v>
      </c>
      <c r="M18" s="258">
        <f t="shared" si="4"/>
        <v>0.1323</v>
      </c>
      <c r="N18" s="271">
        <f t="shared" si="5"/>
        <v>2.6460000000000001E-2</v>
      </c>
      <c r="P18"/>
      <c r="Q18"/>
      <c r="R18" s="11"/>
    </row>
    <row r="19" spans="2:18" ht="15.6" x14ac:dyDescent="0.25">
      <c r="B19" s="979"/>
      <c r="C19" s="380" t="s">
        <v>103</v>
      </c>
      <c r="D19" s="387">
        <v>1</v>
      </c>
      <c r="E19" s="247">
        <v>43.8</v>
      </c>
      <c r="F19" s="255">
        <v>3</v>
      </c>
      <c r="G19" s="255">
        <v>0.6</v>
      </c>
      <c r="H19" s="260">
        <f t="shared" si="6"/>
        <v>0.13139999999999999</v>
      </c>
      <c r="I19" s="260">
        <f t="shared" si="0"/>
        <v>2.6279999999999998E-2</v>
      </c>
      <c r="J19" s="253">
        <f t="shared" si="1"/>
        <v>46.105263157894733</v>
      </c>
      <c r="K19" s="258">
        <f t="shared" si="2"/>
        <v>2.8499999999999996</v>
      </c>
      <c r="L19" s="258">
        <f t="shared" si="3"/>
        <v>0.56999999999999995</v>
      </c>
      <c r="M19" s="258">
        <f t="shared" si="4"/>
        <v>0.13139999999999999</v>
      </c>
      <c r="N19" s="271">
        <f t="shared" si="5"/>
        <v>2.6279999999999994E-2</v>
      </c>
      <c r="P19"/>
      <c r="Q19"/>
      <c r="R19" s="11"/>
    </row>
    <row r="20" spans="2:18" ht="15.6" x14ac:dyDescent="0.25">
      <c r="B20" s="979"/>
      <c r="C20" s="380" t="s">
        <v>104</v>
      </c>
      <c r="D20" s="387">
        <v>1</v>
      </c>
      <c r="E20" s="247">
        <v>38.1</v>
      </c>
      <c r="F20" s="255">
        <v>3</v>
      </c>
      <c r="G20" s="255">
        <v>0.6</v>
      </c>
      <c r="H20" s="260">
        <f t="shared" si="6"/>
        <v>0.11430000000000001</v>
      </c>
      <c r="I20" s="260">
        <f t="shared" si="0"/>
        <v>2.2859999999999998E-2</v>
      </c>
      <c r="J20" s="254">
        <f t="shared" si="1"/>
        <v>40.10526315789474</v>
      </c>
      <c r="K20" s="258">
        <f t="shared" si="2"/>
        <v>2.8499999999999996</v>
      </c>
      <c r="L20" s="258">
        <f t="shared" si="3"/>
        <v>0.56999999999999995</v>
      </c>
      <c r="M20" s="258">
        <f t="shared" si="4"/>
        <v>0.1143</v>
      </c>
      <c r="N20" s="271">
        <f t="shared" si="5"/>
        <v>2.2859999999999998E-2</v>
      </c>
      <c r="P20"/>
      <c r="Q20"/>
      <c r="R20" s="11"/>
    </row>
    <row r="21" spans="2:18" ht="15.6" x14ac:dyDescent="0.25">
      <c r="B21" s="979"/>
      <c r="C21" s="381" t="s">
        <v>105</v>
      </c>
      <c r="D21" s="387">
        <v>1</v>
      </c>
      <c r="E21" s="247">
        <v>43</v>
      </c>
      <c r="F21" s="255">
        <v>3</v>
      </c>
      <c r="G21" s="255">
        <v>0.6</v>
      </c>
      <c r="H21" s="260">
        <f t="shared" si="6"/>
        <v>0.129</v>
      </c>
      <c r="I21" s="260">
        <f t="shared" si="0"/>
        <v>2.58E-2</v>
      </c>
      <c r="J21" s="254">
        <f t="shared" si="1"/>
        <v>45.263157894736842</v>
      </c>
      <c r="K21" s="258">
        <f t="shared" si="2"/>
        <v>2.8499999999999996</v>
      </c>
      <c r="L21" s="258">
        <f t="shared" si="3"/>
        <v>0.56999999999999995</v>
      </c>
      <c r="M21" s="258">
        <f t="shared" si="4"/>
        <v>0.12899999999999998</v>
      </c>
      <c r="N21" s="271">
        <f t="shared" si="5"/>
        <v>2.5799999999999997E-2</v>
      </c>
      <c r="P21"/>
      <c r="Q21"/>
      <c r="R21" s="11"/>
    </row>
    <row r="22" spans="2:18" ht="15.6" x14ac:dyDescent="0.25">
      <c r="B22" s="979"/>
      <c r="C22" s="380" t="s">
        <v>106</v>
      </c>
      <c r="D22" s="387">
        <v>1</v>
      </c>
      <c r="E22" s="247">
        <v>40.4</v>
      </c>
      <c r="F22" s="255">
        <v>3</v>
      </c>
      <c r="G22" s="255">
        <v>0.6</v>
      </c>
      <c r="H22" s="260">
        <f t="shared" si="6"/>
        <v>0.12119999999999999</v>
      </c>
      <c r="I22" s="260">
        <f t="shared" si="0"/>
        <v>2.4239999999999998E-2</v>
      </c>
      <c r="J22" s="254">
        <f t="shared" si="1"/>
        <v>42.526315789473685</v>
      </c>
      <c r="K22" s="258">
        <f t="shared" si="2"/>
        <v>2.8499999999999996</v>
      </c>
      <c r="L22" s="258">
        <f t="shared" si="3"/>
        <v>0.56999999999999995</v>
      </c>
      <c r="M22" s="258">
        <f t="shared" si="4"/>
        <v>0.12119999999999999</v>
      </c>
      <c r="N22" s="271">
        <f t="shared" si="5"/>
        <v>2.4239999999999998E-2</v>
      </c>
      <c r="P22"/>
      <c r="Q22"/>
      <c r="R22" s="11"/>
    </row>
    <row r="23" spans="2:18" ht="15.6" x14ac:dyDescent="0.25">
      <c r="B23" s="979"/>
      <c r="C23" s="380" t="s">
        <v>107</v>
      </c>
      <c r="D23" s="387">
        <v>1</v>
      </c>
      <c r="E23" s="247">
        <v>47.3</v>
      </c>
      <c r="F23" s="255">
        <v>1</v>
      </c>
      <c r="G23" s="255">
        <v>0.1</v>
      </c>
      <c r="H23" s="260">
        <f>E23*F23/1000</f>
        <v>4.7299999999999995E-2</v>
      </c>
      <c r="I23" s="260">
        <f t="shared" si="0"/>
        <v>4.7299999999999998E-3</v>
      </c>
      <c r="J23" s="254">
        <f>E23/0.95</f>
        <v>49.789473684210527</v>
      </c>
      <c r="K23" s="260">
        <f t="shared" si="2"/>
        <v>0.95</v>
      </c>
      <c r="L23" s="260">
        <f t="shared" si="3"/>
        <v>9.5000000000000001E-2</v>
      </c>
      <c r="M23" s="260">
        <f>K23*$J23/1000</f>
        <v>4.7299999999999995E-2</v>
      </c>
      <c r="N23" s="293">
        <f>L23*$J23/1000</f>
        <v>4.7300000000000007E-3</v>
      </c>
      <c r="P23"/>
      <c r="Q23"/>
      <c r="R23" s="11"/>
    </row>
    <row r="24" spans="2:18" ht="15.6" x14ac:dyDescent="0.25">
      <c r="B24" s="979"/>
      <c r="C24" s="380" t="s">
        <v>108</v>
      </c>
      <c r="D24" s="387">
        <v>1</v>
      </c>
      <c r="E24" s="247">
        <v>46.4</v>
      </c>
      <c r="F24" s="255">
        <v>1</v>
      </c>
      <c r="G24" s="255">
        <v>0.1</v>
      </c>
      <c r="H24" s="260">
        <f t="shared" si="6"/>
        <v>4.6399999999999997E-2</v>
      </c>
      <c r="I24" s="260">
        <f t="shared" si="0"/>
        <v>4.64E-3</v>
      </c>
      <c r="J24" s="254">
        <f>E24/0.95</f>
        <v>48.842105263157897</v>
      </c>
      <c r="K24" s="260">
        <f t="shared" si="2"/>
        <v>0.95</v>
      </c>
      <c r="L24" s="260">
        <f t="shared" si="3"/>
        <v>9.5000000000000001E-2</v>
      </c>
      <c r="M24" s="260">
        <f>K24*$J24/1000</f>
        <v>4.6399999999999997E-2</v>
      </c>
      <c r="N24" s="293">
        <f>L24*$J24/1000</f>
        <v>4.6400000000000009E-3</v>
      </c>
      <c r="P24"/>
      <c r="Q24"/>
      <c r="R24" s="11"/>
    </row>
    <row r="25" spans="2:18" ht="15.6" x14ac:dyDescent="0.25">
      <c r="B25" s="979"/>
      <c r="C25" s="380" t="s">
        <v>109</v>
      </c>
      <c r="D25" s="387">
        <v>1</v>
      </c>
      <c r="E25" s="247">
        <v>44.5</v>
      </c>
      <c r="F25" s="255">
        <v>3</v>
      </c>
      <c r="G25" s="255">
        <v>0.6</v>
      </c>
      <c r="H25" s="260">
        <f t="shared" si="6"/>
        <v>0.13350000000000001</v>
      </c>
      <c r="I25" s="260">
        <f t="shared" si="0"/>
        <v>2.6699999999999998E-2</v>
      </c>
      <c r="J25" s="254">
        <f t="shared" ref="J25:J29" si="7">E25/0.95</f>
        <v>46.842105263157897</v>
      </c>
      <c r="K25" s="258">
        <f t="shared" si="2"/>
        <v>2.8499999999999996</v>
      </c>
      <c r="L25" s="258">
        <f t="shared" si="3"/>
        <v>0.56999999999999995</v>
      </c>
      <c r="M25" s="258">
        <f t="shared" si="4"/>
        <v>0.13350000000000001</v>
      </c>
      <c r="N25" s="271">
        <f t="shared" si="5"/>
        <v>2.6699999999999998E-2</v>
      </c>
      <c r="P25"/>
      <c r="Q25"/>
      <c r="R25" s="11"/>
    </row>
    <row r="26" spans="2:18" ht="15.6" x14ac:dyDescent="0.25">
      <c r="B26" s="979"/>
      <c r="C26" s="380" t="s">
        <v>110</v>
      </c>
      <c r="D26" s="387">
        <v>1</v>
      </c>
      <c r="E26" s="247">
        <v>40.200000000000003</v>
      </c>
      <c r="F26" s="255">
        <v>3</v>
      </c>
      <c r="G26" s="255">
        <v>0.6</v>
      </c>
      <c r="H26" s="260">
        <f t="shared" si="6"/>
        <v>0.12060000000000001</v>
      </c>
      <c r="I26" s="260">
        <f t="shared" si="0"/>
        <v>2.4120000000000003E-2</v>
      </c>
      <c r="J26" s="254">
        <f t="shared" si="7"/>
        <v>42.315789473684212</v>
      </c>
      <c r="K26" s="258">
        <f t="shared" si="2"/>
        <v>2.8499999999999996</v>
      </c>
      <c r="L26" s="258">
        <f t="shared" si="3"/>
        <v>0.56999999999999995</v>
      </c>
      <c r="M26" s="258">
        <f t="shared" si="4"/>
        <v>0.1206</v>
      </c>
      <c r="N26" s="271">
        <f t="shared" si="5"/>
        <v>2.4119999999999999E-2</v>
      </c>
      <c r="P26"/>
      <c r="Q26"/>
      <c r="R26" s="11"/>
    </row>
    <row r="27" spans="2:18" ht="15.6" x14ac:dyDescent="0.25">
      <c r="B27" s="979"/>
      <c r="C27" s="380" t="s">
        <v>111</v>
      </c>
      <c r="D27" s="387">
        <v>1</v>
      </c>
      <c r="E27" s="247">
        <v>40.200000000000003</v>
      </c>
      <c r="F27" s="255">
        <v>3</v>
      </c>
      <c r="G27" s="255">
        <v>0.6</v>
      </c>
      <c r="H27" s="260">
        <f t="shared" si="6"/>
        <v>0.12060000000000001</v>
      </c>
      <c r="I27" s="260">
        <f t="shared" si="0"/>
        <v>2.4120000000000003E-2</v>
      </c>
      <c r="J27" s="254">
        <f t="shared" si="7"/>
        <v>42.315789473684212</v>
      </c>
      <c r="K27" s="258">
        <f t="shared" si="2"/>
        <v>2.8499999999999996</v>
      </c>
      <c r="L27" s="258">
        <f t="shared" si="3"/>
        <v>0.56999999999999995</v>
      </c>
      <c r="M27" s="258">
        <f t="shared" si="4"/>
        <v>0.1206</v>
      </c>
      <c r="N27" s="271">
        <f t="shared" si="5"/>
        <v>2.4119999999999999E-2</v>
      </c>
      <c r="P27"/>
      <c r="Q27"/>
      <c r="R27" s="11"/>
    </row>
    <row r="28" spans="2:18" ht="15.6" x14ac:dyDescent="0.25">
      <c r="B28" s="979"/>
      <c r="C28" s="380" t="s">
        <v>112</v>
      </c>
      <c r="D28" s="387">
        <v>1</v>
      </c>
      <c r="E28" s="247">
        <v>32.5</v>
      </c>
      <c r="F28" s="255">
        <v>3</v>
      </c>
      <c r="G28" s="255">
        <v>0.6</v>
      </c>
      <c r="H28" s="260">
        <f t="shared" si="6"/>
        <v>9.7500000000000003E-2</v>
      </c>
      <c r="I28" s="260">
        <f t="shared" si="0"/>
        <v>1.95E-2</v>
      </c>
      <c r="J28" s="254">
        <f t="shared" si="7"/>
        <v>34.210526315789473</v>
      </c>
      <c r="K28" s="258">
        <f t="shared" si="2"/>
        <v>2.8499999999999996</v>
      </c>
      <c r="L28" s="258">
        <f t="shared" si="3"/>
        <v>0.56999999999999995</v>
      </c>
      <c r="M28" s="258">
        <f t="shared" si="4"/>
        <v>9.7499999999999989E-2</v>
      </c>
      <c r="N28" s="271">
        <f t="shared" si="5"/>
        <v>1.9499999999999997E-2</v>
      </c>
      <c r="P28"/>
      <c r="Q28"/>
      <c r="R28" s="11"/>
    </row>
    <row r="29" spans="2:18" ht="15.6" x14ac:dyDescent="0.25">
      <c r="B29" s="979"/>
      <c r="C29" s="380" t="s">
        <v>113</v>
      </c>
      <c r="D29" s="387">
        <v>1</v>
      </c>
      <c r="E29" s="247">
        <v>43</v>
      </c>
      <c r="F29" s="255">
        <v>3</v>
      </c>
      <c r="G29" s="255">
        <v>0.6</v>
      </c>
      <c r="H29" s="260">
        <f t="shared" si="6"/>
        <v>0.129</v>
      </c>
      <c r="I29" s="260">
        <f t="shared" si="0"/>
        <v>2.58E-2</v>
      </c>
      <c r="J29" s="254">
        <f t="shared" si="7"/>
        <v>45.263157894736842</v>
      </c>
      <c r="K29" s="258">
        <f t="shared" si="2"/>
        <v>2.8499999999999996</v>
      </c>
      <c r="L29" s="258">
        <f t="shared" si="3"/>
        <v>0.56999999999999995</v>
      </c>
      <c r="M29" s="258">
        <f t="shared" si="4"/>
        <v>0.12899999999999998</v>
      </c>
      <c r="N29" s="271">
        <f t="shared" si="5"/>
        <v>2.5799999999999997E-2</v>
      </c>
      <c r="P29"/>
      <c r="Q29"/>
      <c r="R29" s="11"/>
    </row>
    <row r="30" spans="2:18" ht="15.6" x14ac:dyDescent="0.25">
      <c r="B30" s="979"/>
      <c r="C30" s="380" t="s">
        <v>114</v>
      </c>
      <c r="D30" s="387">
        <v>1</v>
      </c>
      <c r="E30" s="247">
        <v>49.5</v>
      </c>
      <c r="F30" s="255">
        <v>1</v>
      </c>
      <c r="G30" s="255">
        <v>0.1</v>
      </c>
      <c r="H30" s="319">
        <f t="shared" si="6"/>
        <v>4.9500000000000002E-2</v>
      </c>
      <c r="I30" s="260">
        <f t="shared" si="0"/>
        <v>4.9500000000000004E-3</v>
      </c>
      <c r="J30" s="254">
        <f>E30/0.95</f>
        <v>52.10526315789474</v>
      </c>
      <c r="K30" s="260">
        <f>F30*95%</f>
        <v>0.95</v>
      </c>
      <c r="L30" s="260">
        <f>G30*95%</f>
        <v>9.5000000000000001E-2</v>
      </c>
      <c r="M30" s="319">
        <f t="shared" si="4"/>
        <v>4.9500000000000002E-2</v>
      </c>
      <c r="N30" s="293">
        <f t="shared" si="5"/>
        <v>4.9500000000000004E-3</v>
      </c>
      <c r="P30"/>
      <c r="Q30"/>
      <c r="R30" s="11"/>
    </row>
    <row r="31" spans="2:18" ht="15.6" x14ac:dyDescent="0.25">
      <c r="B31" s="979"/>
      <c r="C31" s="380" t="s">
        <v>115</v>
      </c>
      <c r="D31" s="387">
        <v>1</v>
      </c>
      <c r="E31" s="247">
        <v>40.200000000000003</v>
      </c>
      <c r="F31" s="255">
        <v>3</v>
      </c>
      <c r="G31" s="255">
        <v>0.6</v>
      </c>
      <c r="H31" s="260">
        <f t="shared" si="6"/>
        <v>0.12060000000000001</v>
      </c>
      <c r="I31" s="260">
        <f t="shared" si="0"/>
        <v>2.4120000000000003E-2</v>
      </c>
      <c r="J31" s="254">
        <f t="shared" ref="J31:J44" si="8">E31/0.95</f>
        <v>42.315789473684212</v>
      </c>
      <c r="K31" s="258">
        <f t="shared" si="2"/>
        <v>2.8499999999999996</v>
      </c>
      <c r="L31" s="258">
        <f t="shared" si="3"/>
        <v>0.56999999999999995</v>
      </c>
      <c r="M31" s="258">
        <f t="shared" si="4"/>
        <v>0.1206</v>
      </c>
      <c r="N31" s="271">
        <f t="shared" si="5"/>
        <v>2.4119999999999999E-2</v>
      </c>
      <c r="P31"/>
      <c r="Q31"/>
      <c r="R31" s="11"/>
    </row>
    <row r="32" spans="2:18" ht="15.6" x14ac:dyDescent="0.25">
      <c r="B32" s="979"/>
      <c r="C32" s="380" t="s">
        <v>116</v>
      </c>
      <c r="D32" s="387">
        <v>1</v>
      </c>
      <c r="E32" s="247">
        <v>40.200000000000003</v>
      </c>
      <c r="F32" s="255">
        <v>3</v>
      </c>
      <c r="G32" s="255">
        <v>0.6</v>
      </c>
      <c r="H32" s="260">
        <f t="shared" si="6"/>
        <v>0.12060000000000001</v>
      </c>
      <c r="I32" s="260">
        <f t="shared" si="0"/>
        <v>2.4120000000000003E-2</v>
      </c>
      <c r="J32" s="254">
        <f t="shared" si="8"/>
        <v>42.315789473684212</v>
      </c>
      <c r="K32" s="258">
        <f t="shared" si="2"/>
        <v>2.8499999999999996</v>
      </c>
      <c r="L32" s="258">
        <f t="shared" si="3"/>
        <v>0.56999999999999995</v>
      </c>
      <c r="M32" s="258">
        <f t="shared" si="4"/>
        <v>0.1206</v>
      </c>
      <c r="N32" s="271">
        <f t="shared" si="5"/>
        <v>2.4119999999999999E-2</v>
      </c>
      <c r="P32"/>
      <c r="Q32"/>
      <c r="R32" s="11"/>
    </row>
    <row r="33" spans="2:18" ht="16.2" thickBot="1" x14ac:dyDescent="0.3">
      <c r="B33" s="979"/>
      <c r="C33" s="382" t="s">
        <v>117</v>
      </c>
      <c r="D33" s="388">
        <v>1</v>
      </c>
      <c r="E33" s="348">
        <v>40.200000000000003</v>
      </c>
      <c r="F33" s="349">
        <v>3</v>
      </c>
      <c r="G33" s="349">
        <v>0.6</v>
      </c>
      <c r="H33" s="350">
        <f t="shared" si="6"/>
        <v>0.12060000000000001</v>
      </c>
      <c r="I33" s="350">
        <f t="shared" si="0"/>
        <v>2.4120000000000003E-2</v>
      </c>
      <c r="J33" s="394">
        <f t="shared" si="8"/>
        <v>42.315789473684212</v>
      </c>
      <c r="K33" s="351">
        <f t="shared" si="2"/>
        <v>2.8499999999999996</v>
      </c>
      <c r="L33" s="351">
        <f t="shared" si="3"/>
        <v>0.56999999999999995</v>
      </c>
      <c r="M33" s="351">
        <f t="shared" si="4"/>
        <v>0.1206</v>
      </c>
      <c r="N33" s="352">
        <f t="shared" si="5"/>
        <v>2.4119999999999999E-2</v>
      </c>
      <c r="P33"/>
      <c r="Q33"/>
      <c r="R33" s="11"/>
    </row>
    <row r="34" spans="2:18" ht="12.75" customHeight="1" x14ac:dyDescent="0.25">
      <c r="B34" s="989" t="s">
        <v>118</v>
      </c>
      <c r="C34" s="379" t="s">
        <v>119</v>
      </c>
      <c r="D34" s="389">
        <v>1</v>
      </c>
      <c r="E34" s="323">
        <v>26.7</v>
      </c>
      <c r="F34" s="266">
        <v>1</v>
      </c>
      <c r="G34" s="266">
        <v>1.5</v>
      </c>
      <c r="H34" s="267">
        <f>E34*F34/1000</f>
        <v>2.6699999999999998E-2</v>
      </c>
      <c r="I34" s="267">
        <f t="shared" si="0"/>
        <v>4.0049999999999995E-2</v>
      </c>
      <c r="J34" s="268">
        <f t="shared" si="8"/>
        <v>28.105263157894736</v>
      </c>
      <c r="K34" s="269">
        <f t="shared" si="2"/>
        <v>0.95</v>
      </c>
      <c r="L34" s="269">
        <f t="shared" si="3"/>
        <v>1.4249999999999998</v>
      </c>
      <c r="M34" s="269">
        <f t="shared" si="4"/>
        <v>2.6699999999999998E-2</v>
      </c>
      <c r="N34" s="270">
        <f t="shared" si="5"/>
        <v>4.0049999999999995E-2</v>
      </c>
      <c r="P34"/>
      <c r="Q34"/>
      <c r="R34" s="11"/>
    </row>
    <row r="35" spans="2:18" ht="15.6" x14ac:dyDescent="0.25">
      <c r="B35" s="979"/>
      <c r="C35" s="380" t="s">
        <v>62</v>
      </c>
      <c r="D35" s="387">
        <v>1</v>
      </c>
      <c r="E35" s="247">
        <v>28.2</v>
      </c>
      <c r="F35" s="255">
        <v>10</v>
      </c>
      <c r="G35" s="255">
        <v>1.5</v>
      </c>
      <c r="H35" s="260">
        <f t="shared" si="6"/>
        <v>0.28199999999999997</v>
      </c>
      <c r="I35" s="260">
        <f t="shared" si="0"/>
        <v>4.2299999999999997E-2</v>
      </c>
      <c r="J35" s="253">
        <f t="shared" si="8"/>
        <v>29.684210526315791</v>
      </c>
      <c r="K35" s="258">
        <f t="shared" si="2"/>
        <v>9.5</v>
      </c>
      <c r="L35" s="258">
        <f t="shared" si="3"/>
        <v>1.4249999999999998</v>
      </c>
      <c r="M35" s="258">
        <f t="shared" si="4"/>
        <v>0.28199999999999997</v>
      </c>
      <c r="N35" s="271">
        <f t="shared" si="5"/>
        <v>4.2299999999999997E-2</v>
      </c>
      <c r="P35"/>
      <c r="Q35"/>
      <c r="R35" s="11"/>
    </row>
    <row r="36" spans="2:18" ht="15.6" x14ac:dyDescent="0.25">
      <c r="B36" s="979"/>
      <c r="C36" s="380" t="s">
        <v>120</v>
      </c>
      <c r="D36" s="387">
        <v>1</v>
      </c>
      <c r="E36" s="247">
        <v>25.8</v>
      </c>
      <c r="F36" s="255">
        <v>10</v>
      </c>
      <c r="G36" s="255">
        <v>1.5</v>
      </c>
      <c r="H36" s="260">
        <f t="shared" si="6"/>
        <v>0.25800000000000001</v>
      </c>
      <c r="I36" s="260">
        <f t="shared" si="0"/>
        <v>3.8700000000000005E-2</v>
      </c>
      <c r="J36" s="253">
        <f t="shared" si="8"/>
        <v>27.157894736842106</v>
      </c>
      <c r="K36" s="258">
        <f t="shared" si="2"/>
        <v>9.5</v>
      </c>
      <c r="L36" s="258">
        <f t="shared" si="3"/>
        <v>1.4249999999999998</v>
      </c>
      <c r="M36" s="258">
        <f t="shared" si="4"/>
        <v>0.25800000000000001</v>
      </c>
      <c r="N36" s="271">
        <f t="shared" si="5"/>
        <v>3.8699999999999998E-2</v>
      </c>
      <c r="P36"/>
      <c r="Q36"/>
      <c r="R36" s="11"/>
    </row>
    <row r="37" spans="2:18" ht="15.6" x14ac:dyDescent="0.25">
      <c r="B37" s="979"/>
      <c r="C37" s="380" t="s">
        <v>121</v>
      </c>
      <c r="D37" s="387">
        <v>1</v>
      </c>
      <c r="E37" s="247">
        <v>18.899999999999999</v>
      </c>
      <c r="F37" s="255">
        <v>10</v>
      </c>
      <c r="G37" s="255">
        <v>1.5</v>
      </c>
      <c r="H37" s="260">
        <f t="shared" si="6"/>
        <v>0.189</v>
      </c>
      <c r="I37" s="260">
        <f t="shared" si="0"/>
        <v>2.8349999999999997E-2</v>
      </c>
      <c r="J37" s="253">
        <f t="shared" si="8"/>
        <v>19.894736842105264</v>
      </c>
      <c r="K37" s="258">
        <f t="shared" si="2"/>
        <v>9.5</v>
      </c>
      <c r="L37" s="258">
        <f t="shared" si="3"/>
        <v>1.4249999999999998</v>
      </c>
      <c r="M37" s="258">
        <f t="shared" si="4"/>
        <v>0.189</v>
      </c>
      <c r="N37" s="271">
        <f t="shared" si="5"/>
        <v>2.8349999999999997E-2</v>
      </c>
      <c r="P37"/>
      <c r="Q37"/>
      <c r="R37" s="11"/>
    </row>
    <row r="38" spans="2:18" ht="15.6" x14ac:dyDescent="0.25">
      <c r="B38" s="979"/>
      <c r="C38" s="380" t="s">
        <v>122</v>
      </c>
      <c r="D38" s="387">
        <v>1</v>
      </c>
      <c r="E38" s="247">
        <v>11.9</v>
      </c>
      <c r="F38" s="255">
        <v>10</v>
      </c>
      <c r="G38" s="255">
        <v>1.5</v>
      </c>
      <c r="H38" s="260">
        <f t="shared" si="6"/>
        <v>0.11899999999999999</v>
      </c>
      <c r="I38" s="260">
        <f t="shared" si="0"/>
        <v>1.7850000000000001E-2</v>
      </c>
      <c r="J38" s="253">
        <f t="shared" si="8"/>
        <v>12.526315789473685</v>
      </c>
      <c r="K38" s="258">
        <f t="shared" si="2"/>
        <v>9.5</v>
      </c>
      <c r="L38" s="258">
        <f t="shared" si="3"/>
        <v>1.4249999999999998</v>
      </c>
      <c r="M38" s="258">
        <f t="shared" si="4"/>
        <v>0.11899999999999999</v>
      </c>
      <c r="N38" s="271">
        <f t="shared" si="5"/>
        <v>1.7849999999999998E-2</v>
      </c>
      <c r="P38"/>
      <c r="Q38"/>
      <c r="R38" s="11"/>
    </row>
    <row r="39" spans="2:18" ht="15.6" x14ac:dyDescent="0.25">
      <c r="B39" s="979"/>
      <c r="C39" s="380" t="s">
        <v>123</v>
      </c>
      <c r="D39" s="387">
        <v>1</v>
      </c>
      <c r="E39" s="247">
        <v>8.9</v>
      </c>
      <c r="F39" s="255">
        <v>10</v>
      </c>
      <c r="G39" s="255">
        <v>1.5</v>
      </c>
      <c r="H39" s="260">
        <f t="shared" si="6"/>
        <v>8.8999999999999996E-2</v>
      </c>
      <c r="I39" s="260">
        <f t="shared" si="0"/>
        <v>1.3350000000000001E-2</v>
      </c>
      <c r="J39" s="253">
        <f t="shared" si="8"/>
        <v>9.3684210526315805</v>
      </c>
      <c r="K39" s="258">
        <f t="shared" si="2"/>
        <v>9.5</v>
      </c>
      <c r="L39" s="258">
        <f t="shared" si="3"/>
        <v>1.4249999999999998</v>
      </c>
      <c r="M39" s="258">
        <f t="shared" si="4"/>
        <v>8.900000000000001E-2</v>
      </c>
      <c r="N39" s="271">
        <f t="shared" si="5"/>
        <v>1.3350000000000001E-2</v>
      </c>
      <c r="P39"/>
      <c r="Q39"/>
      <c r="R39" s="11"/>
    </row>
    <row r="40" spans="2:18" ht="15.6" x14ac:dyDescent="0.25">
      <c r="B40" s="979"/>
      <c r="C40" s="380" t="s">
        <v>124</v>
      </c>
      <c r="D40" s="387">
        <v>1</v>
      </c>
      <c r="E40" s="247">
        <v>20.7</v>
      </c>
      <c r="F40" s="255">
        <v>10</v>
      </c>
      <c r="G40" s="255">
        <v>1.5</v>
      </c>
      <c r="H40" s="260">
        <f t="shared" si="6"/>
        <v>0.20699999999999999</v>
      </c>
      <c r="I40" s="260">
        <f t="shared" si="0"/>
        <v>3.1049999999999998E-2</v>
      </c>
      <c r="J40" s="253">
        <f t="shared" si="8"/>
        <v>21.789473684210527</v>
      </c>
      <c r="K40" s="258">
        <f t="shared" si="2"/>
        <v>9.5</v>
      </c>
      <c r="L40" s="258">
        <f t="shared" si="3"/>
        <v>1.4249999999999998</v>
      </c>
      <c r="M40" s="258">
        <f t="shared" si="4"/>
        <v>0.20699999999999999</v>
      </c>
      <c r="N40" s="271">
        <f t="shared" si="5"/>
        <v>3.1049999999999998E-2</v>
      </c>
      <c r="P40"/>
      <c r="Q40"/>
      <c r="R40" s="11"/>
    </row>
    <row r="41" spans="2:18" ht="15.6" x14ac:dyDescent="0.25">
      <c r="B41" s="979"/>
      <c r="C41" s="380" t="s">
        <v>125</v>
      </c>
      <c r="D41" s="387">
        <v>1</v>
      </c>
      <c r="E41" s="247">
        <v>20.7</v>
      </c>
      <c r="F41" s="255">
        <v>10</v>
      </c>
      <c r="G41" s="255">
        <v>1.5</v>
      </c>
      <c r="H41" s="260">
        <f t="shared" si="6"/>
        <v>0.20699999999999999</v>
      </c>
      <c r="I41" s="260">
        <f t="shared" si="0"/>
        <v>3.1049999999999998E-2</v>
      </c>
      <c r="J41" s="253">
        <f t="shared" si="8"/>
        <v>21.789473684210527</v>
      </c>
      <c r="K41" s="258">
        <f t="shared" si="2"/>
        <v>9.5</v>
      </c>
      <c r="L41" s="258">
        <f t="shared" si="3"/>
        <v>1.4249999999999998</v>
      </c>
      <c r="M41" s="258">
        <f t="shared" si="4"/>
        <v>0.20699999999999999</v>
      </c>
      <c r="N41" s="271">
        <f t="shared" si="5"/>
        <v>3.1049999999999998E-2</v>
      </c>
      <c r="P41"/>
      <c r="Q41"/>
      <c r="R41" s="11"/>
    </row>
    <row r="42" spans="2:18" ht="15.6" x14ac:dyDescent="0.25">
      <c r="B42" s="979"/>
      <c r="C42" s="380" t="s">
        <v>126</v>
      </c>
      <c r="D42" s="387">
        <v>1</v>
      </c>
      <c r="E42" s="247">
        <v>28.2</v>
      </c>
      <c r="F42" s="255">
        <v>10</v>
      </c>
      <c r="G42" s="255">
        <v>1.5</v>
      </c>
      <c r="H42" s="260">
        <f t="shared" si="6"/>
        <v>0.28199999999999997</v>
      </c>
      <c r="I42" s="260">
        <f t="shared" si="0"/>
        <v>4.2299999999999997E-2</v>
      </c>
      <c r="J42" s="253">
        <f t="shared" si="8"/>
        <v>29.684210526315791</v>
      </c>
      <c r="K42" s="258">
        <f t="shared" si="2"/>
        <v>9.5</v>
      </c>
      <c r="L42" s="258">
        <f t="shared" si="3"/>
        <v>1.4249999999999998</v>
      </c>
      <c r="M42" s="258">
        <f t="shared" si="4"/>
        <v>0.28199999999999997</v>
      </c>
      <c r="N42" s="271">
        <f t="shared" si="5"/>
        <v>4.2299999999999997E-2</v>
      </c>
      <c r="P42"/>
      <c r="Q42"/>
      <c r="R42" s="11"/>
    </row>
    <row r="43" spans="2:18" ht="15.6" x14ac:dyDescent="0.25">
      <c r="B43" s="979"/>
      <c r="C43" s="380" t="s">
        <v>127</v>
      </c>
      <c r="D43" s="387">
        <v>1</v>
      </c>
      <c r="E43" s="247">
        <v>28.2</v>
      </c>
      <c r="F43" s="255">
        <v>1</v>
      </c>
      <c r="G43" s="255">
        <v>0.1</v>
      </c>
      <c r="H43" s="260">
        <f t="shared" si="6"/>
        <v>2.8199999999999999E-2</v>
      </c>
      <c r="I43" s="260">
        <f t="shared" si="0"/>
        <v>2.8200000000000005E-3</v>
      </c>
      <c r="J43" s="253">
        <f t="shared" si="8"/>
        <v>29.684210526315791</v>
      </c>
      <c r="K43" s="258">
        <f t="shared" si="2"/>
        <v>0.95</v>
      </c>
      <c r="L43" s="258">
        <f t="shared" si="3"/>
        <v>9.5000000000000001E-2</v>
      </c>
      <c r="M43" s="258">
        <f t="shared" si="4"/>
        <v>2.8199999999999999E-2</v>
      </c>
      <c r="N43" s="271">
        <f t="shared" si="5"/>
        <v>2.8200000000000005E-3</v>
      </c>
      <c r="P43"/>
      <c r="Q43"/>
      <c r="R43" s="11"/>
    </row>
    <row r="44" spans="2:18" ht="15.6" x14ac:dyDescent="0.25">
      <c r="B44" s="979"/>
      <c r="C44" s="380" t="s">
        <v>128</v>
      </c>
      <c r="D44" s="387">
        <v>1</v>
      </c>
      <c r="E44" s="247">
        <v>28</v>
      </c>
      <c r="F44" s="255">
        <v>10</v>
      </c>
      <c r="G44" s="255">
        <v>1.5</v>
      </c>
      <c r="H44" s="260">
        <f t="shared" si="6"/>
        <v>0.28000000000000003</v>
      </c>
      <c r="I44" s="260">
        <f t="shared" si="0"/>
        <v>4.2000000000000003E-2</v>
      </c>
      <c r="J44" s="253">
        <f t="shared" si="8"/>
        <v>29.473684210526319</v>
      </c>
      <c r="K44" s="258">
        <f t="shared" si="2"/>
        <v>9.5</v>
      </c>
      <c r="L44" s="258">
        <f t="shared" si="3"/>
        <v>1.4249999999999998</v>
      </c>
      <c r="M44" s="258">
        <f t="shared" si="4"/>
        <v>0.28000000000000003</v>
      </c>
      <c r="N44" s="271">
        <f t="shared" si="5"/>
        <v>4.2000000000000003E-2</v>
      </c>
      <c r="P44"/>
      <c r="Q44"/>
      <c r="R44" s="11"/>
    </row>
    <row r="45" spans="2:18" ht="15.6" x14ac:dyDescent="0.25">
      <c r="B45" s="979"/>
      <c r="C45" s="380" t="s">
        <v>129</v>
      </c>
      <c r="D45" s="387">
        <v>2</v>
      </c>
      <c r="E45" s="247">
        <v>38.700000000000003</v>
      </c>
      <c r="F45" s="255">
        <v>1</v>
      </c>
      <c r="G45" s="255">
        <v>0.1</v>
      </c>
      <c r="H45" s="260">
        <f t="shared" si="6"/>
        <v>3.8700000000000005E-2</v>
      </c>
      <c r="I45" s="260">
        <f t="shared" si="0"/>
        <v>3.8700000000000006E-3</v>
      </c>
      <c r="J45" s="253">
        <f>E45/0.9</f>
        <v>43</v>
      </c>
      <c r="K45" s="258">
        <f t="shared" ref="K45:L48" si="9">F45*90%</f>
        <v>0.9</v>
      </c>
      <c r="L45" s="258">
        <f t="shared" si="9"/>
        <v>9.0000000000000011E-2</v>
      </c>
      <c r="M45" s="258">
        <f t="shared" si="4"/>
        <v>3.8700000000000005E-2</v>
      </c>
      <c r="N45" s="271">
        <f t="shared" si="5"/>
        <v>3.8700000000000006E-3</v>
      </c>
      <c r="P45"/>
      <c r="Q45"/>
      <c r="R45" s="11"/>
    </row>
    <row r="46" spans="2:18" ht="15.6" x14ac:dyDescent="0.25">
      <c r="B46" s="979"/>
      <c r="C46" s="380" t="s">
        <v>130</v>
      </c>
      <c r="D46" s="387">
        <v>2</v>
      </c>
      <c r="E46" s="247">
        <v>38.700000000000003</v>
      </c>
      <c r="F46" s="255">
        <v>1</v>
      </c>
      <c r="G46" s="255">
        <v>0.1</v>
      </c>
      <c r="H46" s="260">
        <f t="shared" si="6"/>
        <v>3.8700000000000005E-2</v>
      </c>
      <c r="I46" s="260">
        <f t="shared" si="0"/>
        <v>3.8700000000000006E-3</v>
      </c>
      <c r="J46" s="253">
        <f>E46/0.9</f>
        <v>43</v>
      </c>
      <c r="K46" s="258">
        <f t="shared" si="9"/>
        <v>0.9</v>
      </c>
      <c r="L46" s="258">
        <f t="shared" si="9"/>
        <v>9.0000000000000011E-2</v>
      </c>
      <c r="M46" s="258">
        <f t="shared" si="4"/>
        <v>3.8700000000000005E-2</v>
      </c>
      <c r="N46" s="271">
        <f t="shared" si="5"/>
        <v>3.8700000000000006E-3</v>
      </c>
      <c r="P46"/>
      <c r="Q46"/>
      <c r="R46" s="11"/>
    </row>
    <row r="47" spans="2:18" ht="15.6" x14ac:dyDescent="0.25">
      <c r="B47" s="979"/>
      <c r="C47" s="380" t="s">
        <v>131</v>
      </c>
      <c r="D47" s="387">
        <v>2</v>
      </c>
      <c r="E47" s="247">
        <v>2.4700000000000002</v>
      </c>
      <c r="F47" s="255">
        <v>1</v>
      </c>
      <c r="G47" s="255">
        <v>0.1</v>
      </c>
      <c r="H47" s="260">
        <f t="shared" si="6"/>
        <v>2.4700000000000004E-3</v>
      </c>
      <c r="I47" s="260">
        <f t="shared" si="0"/>
        <v>2.4700000000000004E-4</v>
      </c>
      <c r="J47" s="253">
        <f>E47/0.9</f>
        <v>2.7444444444444445</v>
      </c>
      <c r="K47" s="258">
        <f t="shared" si="9"/>
        <v>0.9</v>
      </c>
      <c r="L47" s="258">
        <f t="shared" si="9"/>
        <v>9.0000000000000011E-2</v>
      </c>
      <c r="M47" s="258">
        <f t="shared" si="4"/>
        <v>2.4700000000000004E-3</v>
      </c>
      <c r="N47" s="271">
        <f t="shared" si="5"/>
        <v>2.4700000000000004E-4</v>
      </c>
      <c r="P47"/>
      <c r="Q47"/>
      <c r="R47" s="11"/>
    </row>
    <row r="48" spans="2:18" ht="16.2" thickBot="1" x14ac:dyDescent="0.3">
      <c r="B48" s="980"/>
      <c r="C48" s="383" t="s">
        <v>132</v>
      </c>
      <c r="D48" s="388">
        <v>2</v>
      </c>
      <c r="E48" s="324">
        <v>7.06</v>
      </c>
      <c r="F48" s="273">
        <v>1</v>
      </c>
      <c r="G48" s="273">
        <v>0.1</v>
      </c>
      <c r="H48" s="274">
        <f t="shared" si="6"/>
        <v>7.0599999999999994E-3</v>
      </c>
      <c r="I48" s="274">
        <f t="shared" si="0"/>
        <v>7.0599999999999992E-4</v>
      </c>
      <c r="J48" s="275">
        <f>E48/0.9</f>
        <v>7.8444444444444441</v>
      </c>
      <c r="K48" s="276">
        <f t="shared" si="9"/>
        <v>0.9</v>
      </c>
      <c r="L48" s="276">
        <f t="shared" si="9"/>
        <v>9.0000000000000011E-2</v>
      </c>
      <c r="M48" s="276">
        <f t="shared" si="4"/>
        <v>7.0599999999999994E-3</v>
      </c>
      <c r="N48" s="277">
        <f t="shared" si="5"/>
        <v>7.0600000000000003E-4</v>
      </c>
      <c r="P48"/>
      <c r="Q48"/>
      <c r="R48" s="11"/>
    </row>
    <row r="49" spans="2:18" ht="16.2" thickBot="1" x14ac:dyDescent="0.3">
      <c r="B49" s="358" t="s">
        <v>133</v>
      </c>
      <c r="C49" s="384" t="s">
        <v>134</v>
      </c>
      <c r="D49" s="390">
        <v>2</v>
      </c>
      <c r="E49" s="359">
        <v>48</v>
      </c>
      <c r="F49" s="360">
        <v>1</v>
      </c>
      <c r="G49" s="360">
        <v>0.1</v>
      </c>
      <c r="H49" s="361">
        <f t="shared" si="6"/>
        <v>4.8000000000000001E-2</v>
      </c>
      <c r="I49" s="361">
        <f t="shared" si="0"/>
        <v>4.8000000000000004E-3</v>
      </c>
      <c r="J49" s="362">
        <f>E49/0.9</f>
        <v>53.333333333333329</v>
      </c>
      <c r="K49" s="363">
        <f t="shared" ref="K49:K60" si="10">F49*95%</f>
        <v>0.95</v>
      </c>
      <c r="L49" s="363">
        <f t="shared" ref="L49:L60" si="11">G49*95%</f>
        <v>9.5000000000000001E-2</v>
      </c>
      <c r="M49" s="363">
        <f t="shared" si="4"/>
        <v>5.0666666666666658E-2</v>
      </c>
      <c r="N49" s="364">
        <f t="shared" si="5"/>
        <v>5.0666666666666664E-3</v>
      </c>
      <c r="P49"/>
      <c r="Q49"/>
      <c r="R49" s="11"/>
    </row>
    <row r="50" spans="2:18" ht="15.6" x14ac:dyDescent="0.25">
      <c r="B50" s="989" t="s">
        <v>185</v>
      </c>
      <c r="C50" s="379" t="s">
        <v>136</v>
      </c>
      <c r="D50" s="389">
        <v>1</v>
      </c>
      <c r="E50" s="323">
        <v>10</v>
      </c>
      <c r="F50" s="266">
        <v>30</v>
      </c>
      <c r="G50" s="266">
        <v>4</v>
      </c>
      <c r="H50" s="267">
        <f t="shared" si="6"/>
        <v>0.3</v>
      </c>
      <c r="I50" s="267">
        <f t="shared" si="0"/>
        <v>0.04</v>
      </c>
      <c r="J50" s="268">
        <f>E50/0.95</f>
        <v>10.526315789473685</v>
      </c>
      <c r="K50" s="269">
        <f t="shared" si="10"/>
        <v>28.5</v>
      </c>
      <c r="L50" s="269">
        <f t="shared" si="11"/>
        <v>3.8</v>
      </c>
      <c r="M50" s="269">
        <f t="shared" si="4"/>
        <v>0.3</v>
      </c>
      <c r="N50" s="270">
        <f t="shared" si="5"/>
        <v>0.04</v>
      </c>
      <c r="P50"/>
      <c r="Q50"/>
      <c r="R50" s="11"/>
    </row>
    <row r="51" spans="2:18" ht="15.6" x14ac:dyDescent="0.25">
      <c r="B51" s="979"/>
      <c r="C51" s="380" t="s">
        <v>137</v>
      </c>
      <c r="D51" s="387">
        <v>1</v>
      </c>
      <c r="E51" s="247" t="s">
        <v>138</v>
      </c>
      <c r="F51" s="255">
        <v>30</v>
      </c>
      <c r="G51" s="255">
        <v>4</v>
      </c>
      <c r="H51" s="261" t="s">
        <v>138</v>
      </c>
      <c r="I51" s="261" t="s">
        <v>138</v>
      </c>
      <c r="J51" s="254" t="s">
        <v>138</v>
      </c>
      <c r="K51" s="258">
        <f t="shared" si="10"/>
        <v>28.5</v>
      </c>
      <c r="L51" s="258">
        <f t="shared" si="11"/>
        <v>3.8</v>
      </c>
      <c r="M51" s="259" t="s">
        <v>186</v>
      </c>
      <c r="N51" s="272" t="s">
        <v>186</v>
      </c>
      <c r="P51"/>
      <c r="Q51"/>
      <c r="R51" s="11"/>
    </row>
    <row r="52" spans="2:18" ht="16.2" thickBot="1" x14ac:dyDescent="0.3">
      <c r="B52" s="980"/>
      <c r="C52" s="383" t="s">
        <v>139</v>
      </c>
      <c r="D52" s="391">
        <v>1</v>
      </c>
      <c r="E52" s="324">
        <v>40.200000000000003</v>
      </c>
      <c r="F52" s="273">
        <v>30</v>
      </c>
      <c r="G52" s="273">
        <v>4</v>
      </c>
      <c r="H52" s="274">
        <f t="shared" ref="H52:H64" si="12">E52*F52/1000</f>
        <v>1.206</v>
      </c>
      <c r="I52" s="274">
        <f t="shared" ref="I52:I64" si="13">G52*E52/1000</f>
        <v>0.1608</v>
      </c>
      <c r="J52" s="275">
        <f t="shared" ref="J52:J60" si="14">E52/0.95</f>
        <v>42.315789473684212</v>
      </c>
      <c r="K52" s="276">
        <f t="shared" si="10"/>
        <v>28.5</v>
      </c>
      <c r="L52" s="276">
        <f t="shared" si="11"/>
        <v>3.8</v>
      </c>
      <c r="M52" s="276">
        <f t="shared" ref="M52:M64" si="15">K52*$J52/1000</f>
        <v>1.206</v>
      </c>
      <c r="N52" s="277">
        <f t="shared" ref="N52:N64" si="16">L52*$J52/1000</f>
        <v>0.1608</v>
      </c>
      <c r="P52"/>
      <c r="Q52"/>
      <c r="R52" s="11"/>
    </row>
    <row r="53" spans="2:18" ht="16.2" thickBot="1" x14ac:dyDescent="0.3">
      <c r="B53" s="358" t="s">
        <v>140</v>
      </c>
      <c r="C53" s="384" t="s">
        <v>140</v>
      </c>
      <c r="D53" s="390">
        <v>1</v>
      </c>
      <c r="E53" s="359">
        <v>9.76</v>
      </c>
      <c r="F53" s="360">
        <v>2</v>
      </c>
      <c r="G53" s="360">
        <v>1.5</v>
      </c>
      <c r="H53" s="361">
        <f t="shared" si="12"/>
        <v>1.9519999999999999E-2</v>
      </c>
      <c r="I53" s="361">
        <f t="shared" si="13"/>
        <v>1.464E-2</v>
      </c>
      <c r="J53" s="362">
        <f t="shared" si="14"/>
        <v>10.273684210526316</v>
      </c>
      <c r="K53" s="363">
        <f t="shared" si="10"/>
        <v>1.9</v>
      </c>
      <c r="L53" s="363">
        <f t="shared" si="11"/>
        <v>1.4249999999999998</v>
      </c>
      <c r="M53" s="363">
        <f t="shared" si="15"/>
        <v>1.9519999999999999E-2</v>
      </c>
      <c r="N53" s="364">
        <f t="shared" si="16"/>
        <v>1.4639999999999999E-2</v>
      </c>
      <c r="P53"/>
      <c r="Q53"/>
      <c r="R53" s="11"/>
    </row>
    <row r="54" spans="2:18" ht="15.6" x14ac:dyDescent="0.25">
      <c r="B54" s="979" t="s">
        <v>141</v>
      </c>
      <c r="C54" s="385" t="s">
        <v>142</v>
      </c>
      <c r="D54" s="392">
        <v>1</v>
      </c>
      <c r="E54" s="248">
        <v>15.6</v>
      </c>
      <c r="F54" s="353">
        <v>30</v>
      </c>
      <c r="G54" s="353">
        <v>4</v>
      </c>
      <c r="H54" s="354">
        <f t="shared" si="12"/>
        <v>0.46800000000000003</v>
      </c>
      <c r="I54" s="354">
        <f t="shared" si="13"/>
        <v>6.2399999999999997E-2</v>
      </c>
      <c r="J54" s="355">
        <f t="shared" si="14"/>
        <v>16.421052631578949</v>
      </c>
      <c r="K54" s="356">
        <f t="shared" si="10"/>
        <v>28.5</v>
      </c>
      <c r="L54" s="356">
        <f t="shared" si="11"/>
        <v>3.8</v>
      </c>
      <c r="M54" s="356">
        <f t="shared" si="15"/>
        <v>0.46800000000000008</v>
      </c>
      <c r="N54" s="357">
        <f t="shared" si="16"/>
        <v>6.2399999999999997E-2</v>
      </c>
      <c r="P54"/>
      <c r="Q54"/>
      <c r="R54" s="11"/>
    </row>
    <row r="55" spans="2:18" ht="15.6" x14ac:dyDescent="0.25">
      <c r="B55" s="979"/>
      <c r="C55" s="380" t="s">
        <v>143</v>
      </c>
      <c r="D55" s="387">
        <v>1</v>
      </c>
      <c r="E55" s="247">
        <v>11.8</v>
      </c>
      <c r="F55" s="255">
        <v>3</v>
      </c>
      <c r="G55" s="255">
        <v>2</v>
      </c>
      <c r="H55" s="260">
        <f t="shared" si="12"/>
        <v>3.5400000000000008E-2</v>
      </c>
      <c r="I55" s="260">
        <f t="shared" si="13"/>
        <v>2.3600000000000003E-2</v>
      </c>
      <c r="J55" s="253">
        <f t="shared" si="14"/>
        <v>12.421052631578949</v>
      </c>
      <c r="K55" s="258">
        <f t="shared" si="10"/>
        <v>2.8499999999999996</v>
      </c>
      <c r="L55" s="258">
        <f t="shared" si="11"/>
        <v>1.9</v>
      </c>
      <c r="M55" s="258">
        <f t="shared" si="15"/>
        <v>3.5400000000000001E-2</v>
      </c>
      <c r="N55" s="271">
        <f t="shared" si="16"/>
        <v>2.3600000000000003E-2</v>
      </c>
      <c r="P55"/>
      <c r="Q55"/>
      <c r="R55" s="11"/>
    </row>
    <row r="56" spans="2:18" ht="15.6" x14ac:dyDescent="0.25">
      <c r="B56" s="979"/>
      <c r="C56" s="380" t="s">
        <v>144</v>
      </c>
      <c r="D56" s="387">
        <v>1</v>
      </c>
      <c r="E56" s="247">
        <v>11.6</v>
      </c>
      <c r="F56" s="255">
        <v>30</v>
      </c>
      <c r="G56" s="255">
        <v>4</v>
      </c>
      <c r="H56" s="260">
        <f t="shared" si="12"/>
        <v>0.34799999999999998</v>
      </c>
      <c r="I56" s="260">
        <f t="shared" si="13"/>
        <v>4.6399999999999997E-2</v>
      </c>
      <c r="J56" s="253">
        <f t="shared" si="14"/>
        <v>12.210526315789474</v>
      </c>
      <c r="K56" s="258">
        <f t="shared" si="10"/>
        <v>28.5</v>
      </c>
      <c r="L56" s="258">
        <f t="shared" si="11"/>
        <v>3.8</v>
      </c>
      <c r="M56" s="258">
        <f t="shared" si="15"/>
        <v>0.34799999999999998</v>
      </c>
      <c r="N56" s="271">
        <f t="shared" si="16"/>
        <v>4.6399999999999997E-2</v>
      </c>
      <c r="P56"/>
      <c r="Q56"/>
      <c r="R56" s="11"/>
    </row>
    <row r="57" spans="2:18" ht="15.6" x14ac:dyDescent="0.25">
      <c r="B57" s="979"/>
      <c r="C57" s="380" t="s">
        <v>145</v>
      </c>
      <c r="D57" s="387">
        <v>1</v>
      </c>
      <c r="E57" s="247">
        <v>29.5</v>
      </c>
      <c r="F57" s="255">
        <v>200</v>
      </c>
      <c r="G57" s="255">
        <v>4</v>
      </c>
      <c r="H57" s="260">
        <f t="shared" si="12"/>
        <v>5.9</v>
      </c>
      <c r="I57" s="260">
        <f t="shared" si="13"/>
        <v>0.11799999999999999</v>
      </c>
      <c r="J57" s="253">
        <f t="shared" si="14"/>
        <v>31.05263157894737</v>
      </c>
      <c r="K57" s="258">
        <f t="shared" si="10"/>
        <v>190</v>
      </c>
      <c r="L57" s="258">
        <f t="shared" si="11"/>
        <v>3.8</v>
      </c>
      <c r="M57" s="258">
        <f t="shared" si="15"/>
        <v>5.9</v>
      </c>
      <c r="N57" s="271">
        <f t="shared" si="16"/>
        <v>0.11799999999999999</v>
      </c>
      <c r="P57"/>
      <c r="Q57"/>
      <c r="R57" s="11"/>
    </row>
    <row r="58" spans="2:18" ht="15.6" x14ac:dyDescent="0.25">
      <c r="B58" s="979"/>
      <c r="C58" s="380" t="s">
        <v>146</v>
      </c>
      <c r="D58" s="387">
        <v>1</v>
      </c>
      <c r="E58" s="247">
        <v>27</v>
      </c>
      <c r="F58" s="255">
        <v>3</v>
      </c>
      <c r="G58" s="255">
        <v>0.6</v>
      </c>
      <c r="H58" s="260">
        <f t="shared" si="12"/>
        <v>8.1000000000000003E-2</v>
      </c>
      <c r="I58" s="260">
        <f t="shared" si="13"/>
        <v>1.6199999999999999E-2</v>
      </c>
      <c r="J58" s="253">
        <f t="shared" si="14"/>
        <v>28.421052631578949</v>
      </c>
      <c r="K58" s="258">
        <f t="shared" si="10"/>
        <v>2.8499999999999996</v>
      </c>
      <c r="L58" s="258">
        <f t="shared" si="11"/>
        <v>0.56999999999999995</v>
      </c>
      <c r="M58" s="258">
        <f t="shared" si="15"/>
        <v>8.1000000000000003E-2</v>
      </c>
      <c r="N58" s="271">
        <f t="shared" si="16"/>
        <v>1.6199999999999999E-2</v>
      </c>
      <c r="P58"/>
      <c r="Q58"/>
      <c r="R58" s="11"/>
    </row>
    <row r="59" spans="2:18" ht="15.6" x14ac:dyDescent="0.25">
      <c r="B59" s="979"/>
      <c r="C59" s="380" t="s">
        <v>147</v>
      </c>
      <c r="D59" s="387">
        <v>1</v>
      </c>
      <c r="E59" s="247">
        <v>27</v>
      </c>
      <c r="F59" s="255">
        <v>3</v>
      </c>
      <c r="G59" s="255">
        <v>0.6</v>
      </c>
      <c r="H59" s="260">
        <f t="shared" si="12"/>
        <v>8.1000000000000003E-2</v>
      </c>
      <c r="I59" s="260">
        <f t="shared" si="13"/>
        <v>1.6199999999999999E-2</v>
      </c>
      <c r="J59" s="253">
        <f t="shared" si="14"/>
        <v>28.421052631578949</v>
      </c>
      <c r="K59" s="258">
        <f t="shared" si="10"/>
        <v>2.8499999999999996</v>
      </c>
      <c r="L59" s="258">
        <f t="shared" si="11"/>
        <v>0.56999999999999995</v>
      </c>
      <c r="M59" s="258">
        <f t="shared" si="15"/>
        <v>8.1000000000000003E-2</v>
      </c>
      <c r="N59" s="271">
        <f t="shared" si="16"/>
        <v>1.6199999999999999E-2</v>
      </c>
      <c r="P59"/>
      <c r="Q59"/>
      <c r="R59" s="11"/>
    </row>
    <row r="60" spans="2:18" ht="15.6" x14ac:dyDescent="0.25">
      <c r="B60" s="979"/>
      <c r="C60" s="380" t="s">
        <v>148</v>
      </c>
      <c r="D60" s="387">
        <v>1</v>
      </c>
      <c r="E60" s="247">
        <v>27.4</v>
      </c>
      <c r="F60" s="255">
        <v>3</v>
      </c>
      <c r="G60" s="255">
        <v>0.6</v>
      </c>
      <c r="H60" s="260">
        <f t="shared" si="12"/>
        <v>8.2199999999999995E-2</v>
      </c>
      <c r="I60" s="260">
        <f t="shared" si="13"/>
        <v>1.6439999999999996E-2</v>
      </c>
      <c r="J60" s="253">
        <f t="shared" si="14"/>
        <v>28.842105263157894</v>
      </c>
      <c r="K60" s="258">
        <f t="shared" si="10"/>
        <v>2.8499999999999996</v>
      </c>
      <c r="L60" s="258">
        <f t="shared" si="11"/>
        <v>0.56999999999999995</v>
      </c>
      <c r="M60" s="258">
        <f t="shared" si="15"/>
        <v>8.2199999999999995E-2</v>
      </c>
      <c r="N60" s="271">
        <f t="shared" si="16"/>
        <v>1.6439999999999996E-2</v>
      </c>
      <c r="P60"/>
      <c r="Q60"/>
      <c r="R60" s="11"/>
    </row>
    <row r="61" spans="2:18" ht="15.6" x14ac:dyDescent="0.25">
      <c r="B61" s="979"/>
      <c r="C61" s="380" t="s">
        <v>76</v>
      </c>
      <c r="D61" s="387">
        <v>2</v>
      </c>
      <c r="E61" s="247">
        <v>50.4</v>
      </c>
      <c r="F61" s="255">
        <v>1</v>
      </c>
      <c r="G61" s="255">
        <v>0.1</v>
      </c>
      <c r="H61" s="260">
        <f t="shared" si="12"/>
        <v>5.04E-2</v>
      </c>
      <c r="I61" s="260">
        <f t="shared" si="13"/>
        <v>5.0400000000000002E-3</v>
      </c>
      <c r="J61" s="253">
        <f>E61/0.9</f>
        <v>56</v>
      </c>
      <c r="K61" s="258">
        <f t="shared" ref="K61:L63" si="17">F61*90%</f>
        <v>0.9</v>
      </c>
      <c r="L61" s="258">
        <f t="shared" si="17"/>
        <v>9.0000000000000011E-2</v>
      </c>
      <c r="M61" s="258">
        <f t="shared" si="15"/>
        <v>5.04E-2</v>
      </c>
      <c r="N61" s="271">
        <f t="shared" si="16"/>
        <v>5.0400000000000011E-3</v>
      </c>
      <c r="P61"/>
      <c r="Q61"/>
      <c r="R61" s="11"/>
    </row>
    <row r="62" spans="2:18" ht="15.6" x14ac:dyDescent="0.25">
      <c r="B62" s="979"/>
      <c r="C62" s="380" t="s">
        <v>149</v>
      </c>
      <c r="D62" s="387">
        <v>2</v>
      </c>
      <c r="E62" s="247">
        <v>50.4</v>
      </c>
      <c r="F62" s="255">
        <v>1</v>
      </c>
      <c r="G62" s="255">
        <v>0.1</v>
      </c>
      <c r="H62" s="260">
        <f t="shared" si="12"/>
        <v>5.04E-2</v>
      </c>
      <c r="I62" s="260">
        <f t="shared" si="13"/>
        <v>5.0400000000000002E-3</v>
      </c>
      <c r="J62" s="253">
        <f>E62/0.9</f>
        <v>56</v>
      </c>
      <c r="K62" s="258">
        <f t="shared" si="17"/>
        <v>0.9</v>
      </c>
      <c r="L62" s="258">
        <f t="shared" si="17"/>
        <v>9.0000000000000011E-2</v>
      </c>
      <c r="M62" s="258">
        <f t="shared" si="15"/>
        <v>5.04E-2</v>
      </c>
      <c r="N62" s="271">
        <f t="shared" si="16"/>
        <v>5.0400000000000011E-3</v>
      </c>
      <c r="P62"/>
      <c r="Q62"/>
      <c r="R62" s="11"/>
    </row>
    <row r="63" spans="2:18" ht="15.6" x14ac:dyDescent="0.25">
      <c r="B63" s="979"/>
      <c r="C63" s="380" t="s">
        <v>150</v>
      </c>
      <c r="D63" s="387">
        <v>2</v>
      </c>
      <c r="E63" s="247">
        <v>50.4</v>
      </c>
      <c r="F63" s="255">
        <v>1</v>
      </c>
      <c r="G63" s="255">
        <v>0.1</v>
      </c>
      <c r="H63" s="260">
        <f t="shared" si="12"/>
        <v>5.04E-2</v>
      </c>
      <c r="I63" s="260">
        <f t="shared" si="13"/>
        <v>5.0400000000000002E-3</v>
      </c>
      <c r="J63" s="253">
        <f>E63/0.9</f>
        <v>56</v>
      </c>
      <c r="K63" s="258">
        <f t="shared" si="17"/>
        <v>0.9</v>
      </c>
      <c r="L63" s="258">
        <f t="shared" si="17"/>
        <v>9.0000000000000011E-2</v>
      </c>
      <c r="M63" s="258">
        <f t="shared" si="15"/>
        <v>5.04E-2</v>
      </c>
      <c r="N63" s="271">
        <f t="shared" si="16"/>
        <v>5.0400000000000011E-3</v>
      </c>
      <c r="P63"/>
      <c r="Q63"/>
      <c r="R63" s="11"/>
    </row>
    <row r="64" spans="2:18" ht="16.2" thickBot="1" x14ac:dyDescent="0.3">
      <c r="B64" s="980"/>
      <c r="C64" s="383" t="s">
        <v>151</v>
      </c>
      <c r="D64" s="393">
        <v>1</v>
      </c>
      <c r="E64" s="324">
        <v>11.6</v>
      </c>
      <c r="F64" s="273">
        <v>30</v>
      </c>
      <c r="G64" s="273">
        <v>4</v>
      </c>
      <c r="H64" s="274">
        <f t="shared" si="12"/>
        <v>0.34799999999999998</v>
      </c>
      <c r="I64" s="274">
        <f t="shared" si="13"/>
        <v>4.6399999999999997E-2</v>
      </c>
      <c r="J64" s="275">
        <f>E64/0.95</f>
        <v>12.210526315789474</v>
      </c>
      <c r="K64" s="276">
        <f>F64*95%</f>
        <v>28.5</v>
      </c>
      <c r="L64" s="276">
        <f>G64*95%</f>
        <v>3.8</v>
      </c>
      <c r="M64" s="276">
        <f t="shared" si="15"/>
        <v>0.34799999999999998</v>
      </c>
      <c r="N64" s="277">
        <f t="shared" si="16"/>
        <v>4.6399999999999997E-2</v>
      </c>
      <c r="P64"/>
      <c r="Q64"/>
      <c r="R64" s="11"/>
    </row>
    <row r="65" spans="2:18" ht="15.6" x14ac:dyDescent="0.25">
      <c r="B65" s="238" t="s">
        <v>152</v>
      </c>
      <c r="C65"/>
      <c r="D65"/>
      <c r="E65"/>
      <c r="F65"/>
      <c r="G65"/>
      <c r="H65"/>
      <c r="I65"/>
      <c r="J65"/>
      <c r="K65"/>
      <c r="L65"/>
      <c r="M65"/>
      <c r="N65"/>
      <c r="O65"/>
      <c r="P65"/>
      <c r="Q65"/>
      <c r="R65"/>
    </row>
    <row r="66" spans="2:18" ht="18" customHeight="1" x14ac:dyDescent="0.25">
      <c r="B66" s="238" t="s">
        <v>153</v>
      </c>
      <c r="C66"/>
      <c r="D66"/>
      <c r="E66"/>
      <c r="F66"/>
      <c r="G66"/>
      <c r="H66"/>
      <c r="I66"/>
      <c r="J66"/>
      <c r="K66"/>
      <c r="L66"/>
      <c r="M66"/>
      <c r="N66"/>
      <c r="O66"/>
      <c r="P66"/>
      <c r="Q66"/>
      <c r="R66"/>
    </row>
    <row r="67" spans="2:18" s="116" customFormat="1" ht="15.6" x14ac:dyDescent="0.25">
      <c r="B67" s="158" t="s">
        <v>154</v>
      </c>
      <c r="D67" s="157"/>
    </row>
    <row r="68" spans="2:18" ht="30" customHeight="1" x14ac:dyDescent="0.25">
      <c r="B68" s="968" t="s">
        <v>187</v>
      </c>
      <c r="C68" s="968"/>
      <c r="D68" s="968"/>
      <c r="E68" s="968"/>
      <c r="F68" s="968"/>
      <c r="G68" s="968"/>
      <c r="H68" s="968"/>
      <c r="I68" s="968"/>
      <c r="J68" s="968"/>
      <c r="K68" s="968"/>
      <c r="L68" s="968"/>
      <c r="M68" s="968"/>
      <c r="N68" s="968"/>
      <c r="O68"/>
      <c r="P68"/>
      <c r="Q68"/>
      <c r="R68"/>
    </row>
    <row r="69" spans="2:18" ht="23.25" customHeight="1" x14ac:dyDescent="0.25">
      <c r="B69" s="968"/>
      <c r="C69" s="968"/>
      <c r="D69" s="968"/>
      <c r="E69" s="968"/>
      <c r="F69" s="968"/>
      <c r="G69" s="968"/>
      <c r="H69" s="968"/>
      <c r="I69" s="968"/>
      <c r="J69" s="968"/>
      <c r="K69" s="968"/>
      <c r="L69" s="968"/>
      <c r="M69" s="968"/>
      <c r="N69" s="968"/>
      <c r="O69"/>
      <c r="P69"/>
      <c r="Q69"/>
      <c r="R69"/>
    </row>
    <row r="70" spans="2:18" x14ac:dyDescent="0.25">
      <c r="B70" s="936" t="s">
        <v>156</v>
      </c>
      <c r="C70" s="936"/>
      <c r="D70" s="936"/>
      <c r="E70" s="936"/>
      <c r="F70" s="936"/>
      <c r="G70" s="936"/>
      <c r="H70" s="936"/>
      <c r="I70" s="936"/>
      <c r="J70" s="936"/>
      <c r="K70" s="936"/>
      <c r="L70" s="936"/>
      <c r="M70" s="936"/>
      <c r="N70" s="936"/>
      <c r="O70"/>
      <c r="P70"/>
      <c r="Q70"/>
      <c r="R70"/>
    </row>
    <row r="71" spans="2:18" x14ac:dyDescent="0.25">
      <c r="B71" s="937"/>
      <c r="C71" s="937"/>
      <c r="D71" s="937"/>
      <c r="E71" s="937"/>
      <c r="F71" s="937"/>
      <c r="G71" s="937"/>
      <c r="H71" s="937"/>
      <c r="I71" s="937"/>
      <c r="J71" s="937"/>
      <c r="K71" s="937"/>
      <c r="L71" s="937"/>
      <c r="M71" s="937"/>
      <c r="N71" s="937"/>
      <c r="O71"/>
      <c r="P71"/>
      <c r="Q71"/>
      <c r="R71"/>
    </row>
    <row r="72" spans="2:18" x14ac:dyDescent="0.25">
      <c r="B72" s="937"/>
      <c r="C72" s="937"/>
      <c r="D72" s="937"/>
      <c r="E72" s="937"/>
      <c r="F72" s="937"/>
      <c r="G72" s="937"/>
      <c r="H72" s="937"/>
      <c r="I72" s="937"/>
      <c r="J72" s="937"/>
      <c r="K72" s="937"/>
      <c r="L72" s="937"/>
      <c r="M72" s="937"/>
      <c r="N72" s="937"/>
      <c r="O72"/>
      <c r="P72"/>
      <c r="Q72"/>
      <c r="R72"/>
    </row>
    <row r="74" spans="2:18" ht="15" x14ac:dyDescent="0.25">
      <c r="B74" s="265" t="s">
        <v>188</v>
      </c>
      <c r="C74" s="12"/>
      <c r="G74" s="252"/>
    </row>
    <row r="76" spans="2:18" ht="24.75" customHeight="1" x14ac:dyDescent="0.25">
      <c r="B76" s="263" t="s">
        <v>189</v>
      </c>
      <c r="C76" s="171"/>
      <c r="G76" s="244"/>
    </row>
    <row r="77" spans="2:18" ht="34.5" customHeight="1" x14ac:dyDescent="0.25">
      <c r="B77" s="975" t="s">
        <v>190</v>
      </c>
      <c r="C77" s="975"/>
      <c r="D77" s="975"/>
      <c r="E77" s="975"/>
      <c r="F77" s="981" t="s">
        <v>191</v>
      </c>
      <c r="G77" s="981"/>
      <c r="H77" s="982" t="s">
        <v>192</v>
      </c>
      <c r="I77" s="982"/>
    </row>
    <row r="78" spans="2:18" ht="20.25" customHeight="1" x14ac:dyDescent="0.25">
      <c r="B78" s="976" t="s">
        <v>193</v>
      </c>
      <c r="C78" s="976"/>
      <c r="D78" s="397" t="s">
        <v>84</v>
      </c>
      <c r="E78" s="283" t="s">
        <v>194</v>
      </c>
      <c r="F78" s="284" t="s">
        <v>195</v>
      </c>
      <c r="G78" s="284" t="s">
        <v>196</v>
      </c>
      <c r="H78" s="285" t="s">
        <v>195</v>
      </c>
      <c r="I78" s="285" t="s">
        <v>196</v>
      </c>
    </row>
    <row r="79" spans="2:18" ht="15.6" x14ac:dyDescent="0.25">
      <c r="B79" s="990" t="s">
        <v>197</v>
      </c>
      <c r="C79" s="287" t="s">
        <v>198</v>
      </c>
      <c r="D79" s="398">
        <v>1</v>
      </c>
      <c r="E79" s="286"/>
      <c r="F79" s="242">
        <v>3</v>
      </c>
      <c r="G79" s="282">
        <v>0.3</v>
      </c>
      <c r="H79" s="242">
        <f>F79*0.95</f>
        <v>2.8499999999999996</v>
      </c>
      <c r="I79" s="242">
        <f>G79*0.95</f>
        <v>0.28499999999999998</v>
      </c>
    </row>
    <row r="80" spans="2:18" ht="15.6" x14ac:dyDescent="0.25">
      <c r="B80" s="990"/>
      <c r="C80" s="287" t="s">
        <v>199</v>
      </c>
      <c r="D80" s="398">
        <v>1</v>
      </c>
      <c r="E80" s="286"/>
      <c r="F80" s="242">
        <v>0.2</v>
      </c>
      <c r="G80" s="282">
        <v>0.4</v>
      </c>
      <c r="H80" s="242">
        <f t="shared" ref="H80:H96" si="18">F80*0.95</f>
        <v>0.19</v>
      </c>
      <c r="I80" s="242">
        <f>G80*0.95</f>
        <v>0.38</v>
      </c>
    </row>
    <row r="81" spans="2:14" ht="26.4" x14ac:dyDescent="0.25">
      <c r="B81" s="990"/>
      <c r="C81" s="287" t="s">
        <v>200</v>
      </c>
      <c r="D81" s="398">
        <v>1</v>
      </c>
      <c r="E81" s="281"/>
      <c r="F81" s="242">
        <v>4</v>
      </c>
      <c r="G81" s="282" t="s">
        <v>186</v>
      </c>
      <c r="H81" s="242">
        <f t="shared" si="18"/>
        <v>3.8</v>
      </c>
      <c r="I81" s="243" t="s">
        <v>186</v>
      </c>
    </row>
    <row r="82" spans="2:14" ht="15.6" x14ac:dyDescent="0.25">
      <c r="B82" s="990"/>
      <c r="C82" s="287" t="s">
        <v>201</v>
      </c>
      <c r="D82" s="398">
        <v>1</v>
      </c>
      <c r="E82" s="281"/>
      <c r="F82" s="242">
        <v>0.9</v>
      </c>
      <c r="G82" s="282">
        <v>4</v>
      </c>
      <c r="H82" s="242">
        <f t="shared" si="18"/>
        <v>0.85499999999999998</v>
      </c>
      <c r="I82" s="242">
        <f t="shared" ref="I82:I90" si="19">G82*0.95</f>
        <v>3.8</v>
      </c>
    </row>
    <row r="83" spans="2:14" ht="26.4" x14ac:dyDescent="0.25">
      <c r="B83" s="974" t="s">
        <v>202</v>
      </c>
      <c r="C83" s="287" t="s">
        <v>203</v>
      </c>
      <c r="D83" s="398">
        <v>1</v>
      </c>
      <c r="E83" s="281"/>
      <c r="F83" s="242">
        <v>1</v>
      </c>
      <c r="G83" s="282">
        <v>0.7</v>
      </c>
      <c r="H83" s="242">
        <f t="shared" si="18"/>
        <v>0.95</v>
      </c>
      <c r="I83" s="242">
        <f t="shared" si="19"/>
        <v>0.66499999999999992</v>
      </c>
    </row>
    <row r="84" spans="2:14" ht="26.4" x14ac:dyDescent="0.25">
      <c r="B84" s="974"/>
      <c r="C84" s="287" t="s">
        <v>204</v>
      </c>
      <c r="D84" s="398">
        <v>1</v>
      </c>
      <c r="E84" s="396"/>
      <c r="F84" s="242">
        <v>14</v>
      </c>
      <c r="G84" s="282">
        <v>0.7</v>
      </c>
      <c r="H84" s="242">
        <f t="shared" si="18"/>
        <v>13.299999999999999</v>
      </c>
      <c r="I84" s="242">
        <f t="shared" si="19"/>
        <v>0.66499999999999992</v>
      </c>
    </row>
    <row r="85" spans="2:14" ht="25.5" customHeight="1" x14ac:dyDescent="0.25">
      <c r="B85" s="974"/>
      <c r="C85" s="983" t="s">
        <v>205</v>
      </c>
      <c r="D85" s="986">
        <v>1</v>
      </c>
      <c r="E85" s="281" t="s">
        <v>206</v>
      </c>
      <c r="F85" s="242">
        <v>0.7</v>
      </c>
      <c r="G85" s="282">
        <v>0.5</v>
      </c>
      <c r="H85" s="242">
        <f t="shared" si="18"/>
        <v>0.66499999999999992</v>
      </c>
      <c r="I85" s="242">
        <f t="shared" si="19"/>
        <v>0.47499999999999998</v>
      </c>
    </row>
    <row r="86" spans="2:14" ht="29.25" customHeight="1" x14ac:dyDescent="0.25">
      <c r="B86" s="974"/>
      <c r="C86" s="984"/>
      <c r="D86" s="987"/>
      <c r="E86" s="281" t="s">
        <v>207</v>
      </c>
      <c r="F86" s="242">
        <v>0.7</v>
      </c>
      <c r="G86" s="282">
        <v>1.4</v>
      </c>
      <c r="H86" s="242">
        <f t="shared" si="18"/>
        <v>0.66499999999999992</v>
      </c>
      <c r="I86" s="242">
        <f t="shared" si="19"/>
        <v>1.3299999999999998</v>
      </c>
    </row>
    <row r="87" spans="2:14" ht="16.5" customHeight="1" x14ac:dyDescent="0.25">
      <c r="B87" s="974"/>
      <c r="C87" s="985"/>
      <c r="D87" s="988"/>
      <c r="E87" s="281" t="s">
        <v>208</v>
      </c>
      <c r="F87" s="242">
        <v>0.9</v>
      </c>
      <c r="G87" s="282">
        <v>1.4</v>
      </c>
      <c r="H87" s="242">
        <f t="shared" si="18"/>
        <v>0.85499999999999998</v>
      </c>
      <c r="I87" s="242">
        <f t="shared" si="19"/>
        <v>1.3299999999999998</v>
      </c>
    </row>
    <row r="88" spans="2:14" ht="15.6" x14ac:dyDescent="0.25">
      <c r="B88" s="974"/>
      <c r="C88" s="287" t="s">
        <v>209</v>
      </c>
      <c r="D88" s="398">
        <v>1</v>
      </c>
      <c r="E88" s="281"/>
      <c r="F88" s="242">
        <v>1</v>
      </c>
      <c r="G88" s="282">
        <v>0.7</v>
      </c>
      <c r="H88" s="242">
        <f t="shared" si="18"/>
        <v>0.95</v>
      </c>
      <c r="I88" s="242">
        <f t="shared" si="19"/>
        <v>0.66499999999999992</v>
      </c>
    </row>
    <row r="89" spans="2:14" ht="38.25" customHeight="1" x14ac:dyDescent="0.25">
      <c r="B89" s="974"/>
      <c r="C89" s="983" t="s">
        <v>210</v>
      </c>
      <c r="D89" s="986">
        <v>1</v>
      </c>
      <c r="E89" s="281" t="s">
        <v>211</v>
      </c>
      <c r="F89" s="242">
        <v>1</v>
      </c>
      <c r="G89" s="282">
        <v>61</v>
      </c>
      <c r="H89" s="242">
        <f t="shared" si="18"/>
        <v>0.95</v>
      </c>
      <c r="I89" s="242">
        <f t="shared" si="19"/>
        <v>57.949999999999996</v>
      </c>
    </row>
    <row r="90" spans="2:14" x14ac:dyDescent="0.25">
      <c r="B90" s="974"/>
      <c r="C90" s="985"/>
      <c r="D90" s="988"/>
      <c r="E90" s="281" t="s">
        <v>212</v>
      </c>
      <c r="F90" s="242">
        <v>1</v>
      </c>
      <c r="G90" s="282">
        <v>61</v>
      </c>
      <c r="H90" s="242">
        <f t="shared" si="18"/>
        <v>0.95</v>
      </c>
      <c r="I90" s="242">
        <f t="shared" si="19"/>
        <v>57.949999999999996</v>
      </c>
    </row>
    <row r="91" spans="2:14" ht="15.6" x14ac:dyDescent="0.25">
      <c r="B91" s="974" t="s">
        <v>133</v>
      </c>
      <c r="C91" s="280" t="s">
        <v>213</v>
      </c>
      <c r="D91" s="399">
        <v>2</v>
      </c>
      <c r="E91" s="281"/>
      <c r="F91" s="242">
        <v>1</v>
      </c>
      <c r="G91" s="282">
        <v>1</v>
      </c>
      <c r="H91" s="242">
        <f>F91*0.9</f>
        <v>0.9</v>
      </c>
      <c r="I91" s="242">
        <f>G91*0.9</f>
        <v>0.9</v>
      </c>
    </row>
    <row r="92" spans="2:14" ht="15.6" x14ac:dyDescent="0.25">
      <c r="B92" s="974"/>
      <c r="C92" s="280" t="s">
        <v>214</v>
      </c>
      <c r="D92" s="399">
        <v>2</v>
      </c>
      <c r="E92" s="281"/>
      <c r="F92" s="242">
        <v>4</v>
      </c>
      <c r="G92" s="282">
        <v>1</v>
      </c>
      <c r="H92" s="242">
        <f>F92*0.9</f>
        <v>3.6</v>
      </c>
      <c r="I92" s="242">
        <f>G92*0.9</f>
        <v>0.9</v>
      </c>
    </row>
    <row r="93" spans="2:14" ht="25.5" customHeight="1" x14ac:dyDescent="0.25">
      <c r="B93" s="974"/>
      <c r="C93" s="983" t="s">
        <v>215</v>
      </c>
      <c r="D93" s="986">
        <v>2</v>
      </c>
      <c r="E93" s="281" t="s">
        <v>216</v>
      </c>
      <c r="F93" s="242">
        <v>693</v>
      </c>
      <c r="G93" s="282" t="s">
        <v>186</v>
      </c>
      <c r="H93" s="242">
        <f>F93*0.9</f>
        <v>623.70000000000005</v>
      </c>
      <c r="I93" s="242" t="s">
        <v>186</v>
      </c>
    </row>
    <row r="94" spans="2:14" x14ac:dyDescent="0.25">
      <c r="B94" s="974"/>
      <c r="C94" s="984"/>
      <c r="D94" s="987"/>
      <c r="E94" s="281" t="s">
        <v>217</v>
      </c>
      <c r="F94" s="242">
        <v>597</v>
      </c>
      <c r="G94" s="282" t="s">
        <v>186</v>
      </c>
      <c r="H94" s="242">
        <f>F94*0.9</f>
        <v>537.30000000000007</v>
      </c>
      <c r="I94" s="242" t="s">
        <v>186</v>
      </c>
    </row>
    <row r="95" spans="2:14" x14ac:dyDescent="0.25">
      <c r="B95" s="974"/>
      <c r="C95" s="985"/>
      <c r="D95" s="988"/>
      <c r="E95" s="281" t="s">
        <v>218</v>
      </c>
      <c r="F95" s="242">
        <v>110</v>
      </c>
      <c r="G95" s="282" t="s">
        <v>186</v>
      </c>
      <c r="H95" s="242">
        <f>F95*0.9</f>
        <v>99</v>
      </c>
      <c r="I95" s="242" t="s">
        <v>186</v>
      </c>
    </row>
    <row r="96" spans="2:14" ht="15.6" x14ac:dyDescent="0.25">
      <c r="B96" s="279" t="s">
        <v>219</v>
      </c>
      <c r="C96" s="280" t="s">
        <v>220</v>
      </c>
      <c r="D96" s="399">
        <v>1</v>
      </c>
      <c r="E96" s="281"/>
      <c r="F96" s="242">
        <v>11</v>
      </c>
      <c r="G96" s="282">
        <v>7</v>
      </c>
      <c r="H96" s="242">
        <f t="shared" si="18"/>
        <v>10.45</v>
      </c>
      <c r="I96" s="242">
        <f>G96*0.95</f>
        <v>6.6499999999999995</v>
      </c>
      <c r="J96"/>
      <c r="K96"/>
      <c r="L96"/>
      <c r="M96"/>
      <c r="N96"/>
    </row>
    <row r="97" spans="2:18" ht="15.6" x14ac:dyDescent="0.25">
      <c r="B97" s="238" t="s">
        <v>221</v>
      </c>
      <c r="C97"/>
      <c r="D97"/>
      <c r="E97"/>
      <c r="F97"/>
      <c r="G97"/>
      <c r="H97"/>
      <c r="I97"/>
      <c r="J97"/>
      <c r="K97"/>
      <c r="L97"/>
      <c r="M97"/>
      <c r="N97"/>
      <c r="O97"/>
      <c r="P97"/>
      <c r="Q97"/>
      <c r="R97"/>
    </row>
    <row r="98" spans="2:18" ht="15.6" x14ac:dyDescent="0.25">
      <c r="B98" s="238" t="s">
        <v>222</v>
      </c>
      <c r="C98"/>
      <c r="D98"/>
      <c r="E98"/>
      <c r="F98"/>
      <c r="G98"/>
      <c r="H98"/>
      <c r="I98"/>
      <c r="J98"/>
      <c r="K98"/>
      <c r="L98"/>
      <c r="M98"/>
      <c r="N98"/>
      <c r="O98"/>
      <c r="P98"/>
      <c r="Q98"/>
      <c r="R98"/>
    </row>
    <row r="99" spans="2:18" ht="73.5" customHeight="1" x14ac:dyDescent="0.25">
      <c r="B99" s="977" t="s">
        <v>223</v>
      </c>
      <c r="C99" s="978"/>
      <c r="D99" s="978"/>
      <c r="E99" s="978"/>
      <c r="F99" s="978"/>
      <c r="G99" s="978"/>
      <c r="H99" s="978"/>
      <c r="I99" s="978"/>
      <c r="J99"/>
      <c r="K99"/>
      <c r="L99"/>
      <c r="M99"/>
      <c r="N99"/>
    </row>
  </sheetData>
  <sheetProtection algorithmName="SHA-512" hashValue="xoKTNqkqxjL4LFfaW5yRDjW6OmK08KvH8TXsIviZWvib/WmRyxVnrkLAmD3/acyXFbo6QQlhhy5cirAe4X/tIw==" saltValue="qV6QiyTCPIU4kq7KOSCPMA==" spinCount="100000" sheet="1" objects="1" scenarios="1"/>
  <mergeCells count="30">
    <mergeCell ref="B9:C11"/>
    <mergeCell ref="D9:D11"/>
    <mergeCell ref="J8:N8"/>
    <mergeCell ref="J9:J10"/>
    <mergeCell ref="E8:I8"/>
    <mergeCell ref="E9:E10"/>
    <mergeCell ref="F9:G10"/>
    <mergeCell ref="H9:I10"/>
    <mergeCell ref="K9:L10"/>
    <mergeCell ref="M9:N10"/>
    <mergeCell ref="B50:B52"/>
    <mergeCell ref="B34:B48"/>
    <mergeCell ref="B12:B33"/>
    <mergeCell ref="B83:B90"/>
    <mergeCell ref="B79:B82"/>
    <mergeCell ref="B91:B95"/>
    <mergeCell ref="B77:E77"/>
    <mergeCell ref="B78:C78"/>
    <mergeCell ref="B99:I99"/>
    <mergeCell ref="B54:B64"/>
    <mergeCell ref="F77:G77"/>
    <mergeCell ref="H77:I77"/>
    <mergeCell ref="C93:C95"/>
    <mergeCell ref="D85:D87"/>
    <mergeCell ref="D89:D90"/>
    <mergeCell ref="D93:D95"/>
    <mergeCell ref="B68:N69"/>
    <mergeCell ref="B70:N72"/>
    <mergeCell ref="C85:C87"/>
    <mergeCell ref="C89:C90"/>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C6B9"/>
  </sheetPr>
  <dimension ref="A2:R61"/>
  <sheetViews>
    <sheetView showGridLines="0" zoomScaleNormal="100" workbookViewId="0"/>
  </sheetViews>
  <sheetFormatPr defaultRowHeight="13.2" x14ac:dyDescent="0.25"/>
  <cols>
    <col min="1" max="1" width="14" customWidth="1"/>
    <col min="2" max="2" width="11.5546875" customWidth="1"/>
    <col min="3" max="3" width="25" customWidth="1"/>
    <col min="4" max="4" width="21.33203125" customWidth="1"/>
    <col min="5" max="5" width="20.88671875" customWidth="1"/>
    <col min="6" max="6" width="15.6640625" customWidth="1"/>
    <col min="7" max="7" width="8.88671875" customWidth="1"/>
    <col min="8" max="8" width="19.33203125" customWidth="1"/>
    <col min="9" max="9" width="19" customWidth="1"/>
    <col min="10" max="10" width="10" customWidth="1"/>
    <col min="11" max="11" width="21.5546875" customWidth="1"/>
    <col min="12" max="13" width="11.109375" customWidth="1"/>
    <col min="14" max="14" width="19" customWidth="1"/>
    <col min="15" max="15" width="11.109375" customWidth="1"/>
    <col min="17" max="17" width="17.6640625" customWidth="1"/>
    <col min="18" max="18" width="14.44140625" customWidth="1"/>
  </cols>
  <sheetData>
    <row r="2" spans="1:18" ht="15.6" x14ac:dyDescent="0.3">
      <c r="B2" s="2" t="s">
        <v>224</v>
      </c>
      <c r="C2" s="2"/>
      <c r="E2" s="2"/>
      <c r="F2" s="3"/>
      <c r="G2" s="180"/>
    </row>
    <row r="3" spans="1:18" x14ac:dyDescent="0.25">
      <c r="E3" s="4"/>
      <c r="F3" s="5"/>
    </row>
    <row r="4" spans="1:18" x14ac:dyDescent="0.25">
      <c r="B4" s="6"/>
      <c r="C4" s="5" t="s">
        <v>225</v>
      </c>
    </row>
    <row r="5" spans="1:18" x14ac:dyDescent="0.25">
      <c r="B5" s="7"/>
      <c r="C5" s="5" t="s">
        <v>226</v>
      </c>
    </row>
    <row r="6" spans="1:18" x14ac:dyDescent="0.25">
      <c r="B6" s="125"/>
      <c r="C6" s="116" t="s">
        <v>7</v>
      </c>
    </row>
    <row r="8" spans="1:18" ht="13.8" thickBot="1" x14ac:dyDescent="0.3">
      <c r="C8" s="25"/>
    </row>
    <row r="9" spans="1:18" ht="18.600000000000001" thickBot="1" x14ac:dyDescent="0.45">
      <c r="B9" s="205" t="s">
        <v>227</v>
      </c>
      <c r="C9" s="211"/>
      <c r="D9" s="203"/>
      <c r="E9" s="4"/>
      <c r="F9" s="5"/>
      <c r="G9" s="181"/>
    </row>
    <row r="10" spans="1:18" ht="19.5" customHeight="1" x14ac:dyDescent="0.25">
      <c r="C10" s="288" t="s">
        <v>228</v>
      </c>
    </row>
    <row r="11" spans="1:18" ht="19.5" customHeight="1" thickBot="1" x14ac:dyDescent="0.3">
      <c r="C11" s="236"/>
    </row>
    <row r="12" spans="1:18" ht="30" customHeight="1" thickBot="1" x14ac:dyDescent="0.3">
      <c r="C12" s="291" t="s">
        <v>229</v>
      </c>
      <c r="D12" s="1044"/>
      <c r="E12" s="1045"/>
    </row>
    <row r="13" spans="1:18" ht="19.5" customHeight="1" thickBot="1" x14ac:dyDescent="0.3">
      <c r="C13" s="236"/>
    </row>
    <row r="14" spans="1:18" ht="29.25" customHeight="1" thickBot="1" x14ac:dyDescent="0.3">
      <c r="C14" s="1048" t="s">
        <v>230</v>
      </c>
      <c r="D14" s="1049"/>
      <c r="E14" s="1050"/>
      <c r="F14" s="1046" t="s">
        <v>231</v>
      </c>
      <c r="G14" s="1047"/>
      <c r="H14" s="1047"/>
      <c r="I14" s="1046" t="s">
        <v>232</v>
      </c>
      <c r="J14" s="1047"/>
      <c r="K14" s="1047"/>
      <c r="L14" s="1046" t="s">
        <v>233</v>
      </c>
      <c r="M14" s="1047"/>
      <c r="N14" s="1047"/>
      <c r="O14" s="1046" t="s">
        <v>234</v>
      </c>
      <c r="P14" s="1047"/>
      <c r="Q14" s="1047"/>
      <c r="R14" s="1033" t="s">
        <v>235</v>
      </c>
    </row>
    <row r="15" spans="1:18" ht="38.25" customHeight="1" thickBot="1" x14ac:dyDescent="0.3">
      <c r="B15" s="173" t="s">
        <v>236</v>
      </c>
      <c r="C15" s="174" t="s">
        <v>83</v>
      </c>
      <c r="D15" s="177" t="s">
        <v>237</v>
      </c>
      <c r="E15" s="177" t="s">
        <v>238</v>
      </c>
      <c r="F15" s="178" t="s">
        <v>239</v>
      </c>
      <c r="G15" s="177" t="s">
        <v>240</v>
      </c>
      <c r="H15" s="177" t="s">
        <v>241</v>
      </c>
      <c r="I15" s="178" t="s">
        <v>239</v>
      </c>
      <c r="J15" s="177" t="s">
        <v>240</v>
      </c>
      <c r="K15" s="177" t="s">
        <v>242</v>
      </c>
      <c r="L15" s="178" t="s">
        <v>239</v>
      </c>
      <c r="M15" s="177" t="s">
        <v>240</v>
      </c>
      <c r="N15" s="177" t="s">
        <v>243</v>
      </c>
      <c r="O15" s="175" t="s">
        <v>244</v>
      </c>
      <c r="P15" s="175" t="s">
        <v>239</v>
      </c>
      <c r="Q15" s="176" t="s">
        <v>245</v>
      </c>
      <c r="R15" s="1034"/>
    </row>
    <row r="16" spans="1:18" ht="14.25" customHeight="1" x14ac:dyDescent="0.25">
      <c r="A16" s="1024" t="s">
        <v>246</v>
      </c>
      <c r="B16" s="1039" t="s">
        <v>247</v>
      </c>
      <c r="C16" s="184" t="s">
        <v>62</v>
      </c>
      <c r="D16" s="185">
        <v>200</v>
      </c>
      <c r="E16" s="186">
        <v>0.73</v>
      </c>
      <c r="F16" s="1029">
        <v>60</v>
      </c>
      <c r="G16" s="1029" t="s">
        <v>248</v>
      </c>
      <c r="H16" s="1029">
        <v>0.17</v>
      </c>
      <c r="I16" s="1029">
        <v>20</v>
      </c>
      <c r="J16" s="1029" t="s">
        <v>248</v>
      </c>
      <c r="K16" s="1029">
        <v>0.82</v>
      </c>
      <c r="L16" s="1029">
        <v>10</v>
      </c>
      <c r="M16" s="1029" t="s">
        <v>248</v>
      </c>
      <c r="N16" s="1029">
        <v>0.47</v>
      </c>
      <c r="O16" s="187"/>
      <c r="P16" s="187"/>
      <c r="Q16" s="188"/>
      <c r="R16" s="1035">
        <f>(E20+(F16*H16)-(I16*K16)-(L16*N16)-O20)*44/12</f>
        <v>1412.4000000000003</v>
      </c>
    </row>
    <row r="17" spans="1:18" ht="13.8" x14ac:dyDescent="0.25">
      <c r="A17" s="1024"/>
      <c r="B17" s="1040"/>
      <c r="C17" s="189" t="s">
        <v>249</v>
      </c>
      <c r="D17" s="190">
        <v>120</v>
      </c>
      <c r="E17" s="191">
        <v>0.73</v>
      </c>
      <c r="F17" s="1030"/>
      <c r="G17" s="1030"/>
      <c r="H17" s="1030"/>
      <c r="I17" s="1030"/>
      <c r="J17" s="1030"/>
      <c r="K17" s="1030"/>
      <c r="L17" s="1030"/>
      <c r="M17" s="1030"/>
      <c r="N17" s="1030"/>
      <c r="O17" s="192"/>
      <c r="P17" s="192"/>
      <c r="Q17" s="193"/>
      <c r="R17" s="1036"/>
    </row>
    <row r="18" spans="1:18" ht="13.8" x14ac:dyDescent="0.25">
      <c r="A18" s="1024"/>
      <c r="B18" s="1040"/>
      <c r="C18" s="189" t="s">
        <v>250</v>
      </c>
      <c r="D18" s="190">
        <v>90</v>
      </c>
      <c r="E18" s="191">
        <v>0.85</v>
      </c>
      <c r="F18" s="1030"/>
      <c r="G18" s="1030"/>
      <c r="H18" s="1030"/>
      <c r="I18" s="1030"/>
      <c r="J18" s="1030"/>
      <c r="K18" s="1030"/>
      <c r="L18" s="1030"/>
      <c r="M18" s="1030"/>
      <c r="N18" s="1030"/>
      <c r="O18" s="192"/>
      <c r="P18" s="192"/>
      <c r="Q18" s="193"/>
      <c r="R18" s="1036"/>
    </row>
    <row r="19" spans="1:18" ht="18" customHeight="1" x14ac:dyDescent="0.25">
      <c r="A19" s="1024"/>
      <c r="B19" s="1040"/>
      <c r="C19" s="189" t="s">
        <v>251</v>
      </c>
      <c r="D19" s="190">
        <v>100</v>
      </c>
      <c r="E19" s="191">
        <v>0.86</v>
      </c>
      <c r="F19" s="1030"/>
      <c r="G19" s="1030"/>
      <c r="H19" s="1030"/>
      <c r="I19" s="1030"/>
      <c r="J19" s="1030"/>
      <c r="K19" s="1030"/>
      <c r="L19" s="1030"/>
      <c r="M19" s="1030"/>
      <c r="N19" s="1030"/>
      <c r="O19" s="192"/>
      <c r="P19" s="192"/>
      <c r="Q19" s="193"/>
      <c r="R19" s="1036"/>
    </row>
    <row r="20" spans="1:18" ht="30.75" customHeight="1" thickBot="1" x14ac:dyDescent="0.3">
      <c r="A20" s="1024"/>
      <c r="B20" s="1041"/>
      <c r="C20" s="1042" t="s">
        <v>252</v>
      </c>
      <c r="D20" s="1043"/>
      <c r="E20" s="194">
        <f>(D16*E16)+(D17*E17)+(D18*E18)+(D19*E19)</f>
        <v>396.1</v>
      </c>
      <c r="F20" s="1031"/>
      <c r="G20" s="1031"/>
      <c r="H20" s="1031"/>
      <c r="I20" s="1031"/>
      <c r="J20" s="1031"/>
      <c r="K20" s="1031"/>
      <c r="L20" s="1031"/>
      <c r="M20" s="1031"/>
      <c r="N20" s="1031"/>
      <c r="O20" s="1025">
        <f>(P16*Q16)+(P17*Q17)+(P18*Q18)+(P19*Q19)</f>
        <v>0</v>
      </c>
      <c r="P20" s="1026"/>
      <c r="Q20" s="1027"/>
      <c r="R20" s="1037"/>
    </row>
    <row r="21" spans="1:18" ht="14.4" thickBot="1" x14ac:dyDescent="0.3">
      <c r="B21" s="1028"/>
      <c r="C21" s="582" t="s">
        <v>62</v>
      </c>
      <c r="D21" s="583"/>
      <c r="E21" s="584"/>
      <c r="F21" s="1032"/>
      <c r="G21" s="1032"/>
      <c r="H21" s="1032"/>
      <c r="I21" s="1032"/>
      <c r="J21" s="1032"/>
      <c r="K21" s="1032"/>
      <c r="L21" s="1032"/>
      <c r="M21" s="1032"/>
      <c r="N21" s="1032"/>
      <c r="O21" s="585"/>
      <c r="P21" s="583"/>
      <c r="Q21" s="586"/>
      <c r="R21" s="1038">
        <f>(E25+(F21*H21)-(I21*K21)-(L21*N21)-O25)*44/12</f>
        <v>0</v>
      </c>
    </row>
    <row r="22" spans="1:18" ht="14.4" thickBot="1" x14ac:dyDescent="0.3">
      <c r="B22" s="1017"/>
      <c r="C22" s="587" t="s">
        <v>249</v>
      </c>
      <c r="D22" s="588"/>
      <c r="E22" s="589"/>
      <c r="F22" s="1010"/>
      <c r="G22" s="1010"/>
      <c r="H22" s="1010"/>
      <c r="I22" s="1010"/>
      <c r="J22" s="1010"/>
      <c r="K22" s="1010"/>
      <c r="L22" s="1010"/>
      <c r="M22" s="1010"/>
      <c r="N22" s="1010"/>
      <c r="O22" s="590"/>
      <c r="P22" s="588"/>
      <c r="Q22" s="591"/>
      <c r="R22" s="1022"/>
    </row>
    <row r="23" spans="1:18" ht="14.4" thickBot="1" x14ac:dyDescent="0.3">
      <c r="B23" s="1017"/>
      <c r="C23" s="587" t="s">
        <v>250</v>
      </c>
      <c r="D23" s="588"/>
      <c r="E23" s="589"/>
      <c r="F23" s="1010"/>
      <c r="G23" s="1010"/>
      <c r="H23" s="1010"/>
      <c r="I23" s="1010"/>
      <c r="J23" s="1010"/>
      <c r="K23" s="1010"/>
      <c r="L23" s="1010"/>
      <c r="M23" s="1010"/>
      <c r="N23" s="1010"/>
      <c r="O23" s="590"/>
      <c r="P23" s="588"/>
      <c r="Q23" s="591"/>
      <c r="R23" s="1022"/>
    </row>
    <row r="24" spans="1:18" ht="14.4" thickBot="1" x14ac:dyDescent="0.3">
      <c r="B24" s="1017"/>
      <c r="C24" s="592" t="s">
        <v>251</v>
      </c>
      <c r="D24" s="593"/>
      <c r="E24" s="594"/>
      <c r="F24" s="1010"/>
      <c r="G24" s="1010"/>
      <c r="H24" s="1010"/>
      <c r="I24" s="1010"/>
      <c r="J24" s="1010"/>
      <c r="K24" s="1010"/>
      <c r="L24" s="1010"/>
      <c r="M24" s="1010"/>
      <c r="N24" s="1010"/>
      <c r="O24" s="590"/>
      <c r="P24" s="588"/>
      <c r="Q24" s="591"/>
      <c r="R24" s="1022"/>
    </row>
    <row r="25" spans="1:18" ht="33" customHeight="1" thickBot="1" x14ac:dyDescent="0.3">
      <c r="B25" s="1018"/>
      <c r="C25" s="1014" t="s">
        <v>252</v>
      </c>
      <c r="D25" s="1015"/>
      <c r="E25" s="606">
        <f>(D21*E21)+(D22*E22)+(D23*E23)+(D24*E24)</f>
        <v>0</v>
      </c>
      <c r="F25" s="1010"/>
      <c r="G25" s="1010"/>
      <c r="H25" s="1010"/>
      <c r="I25" s="1010"/>
      <c r="J25" s="1010"/>
      <c r="K25" s="1010"/>
      <c r="L25" s="1010"/>
      <c r="M25" s="1010"/>
      <c r="N25" s="1010"/>
      <c r="O25" s="1019">
        <f>(P21*Q21)+(P22*Q22)+(P23*Q23)+(P24*Q24)</f>
        <v>0</v>
      </c>
      <c r="P25" s="1019"/>
      <c r="Q25" s="1020"/>
      <c r="R25" s="1023"/>
    </row>
    <row r="26" spans="1:18" ht="14.4" thickBot="1" x14ac:dyDescent="0.3">
      <c r="B26" s="1016"/>
      <c r="C26" s="595" t="s">
        <v>62</v>
      </c>
      <c r="D26" s="596"/>
      <c r="E26" s="597"/>
      <c r="F26" s="1010"/>
      <c r="G26" s="1010"/>
      <c r="H26" s="1010"/>
      <c r="I26" s="1010"/>
      <c r="J26" s="1010"/>
      <c r="K26" s="1010"/>
      <c r="L26" s="1010"/>
      <c r="M26" s="1010"/>
      <c r="N26" s="1010"/>
      <c r="O26" s="598"/>
      <c r="P26" s="596"/>
      <c r="Q26" s="599"/>
      <c r="R26" s="1021">
        <f>(E30+(F26*H26)-(I26*K26)-(L26*N26)-O30)*44/12</f>
        <v>0</v>
      </c>
    </row>
    <row r="27" spans="1:18" ht="14.4" thickBot="1" x14ac:dyDescent="0.3">
      <c r="B27" s="1017"/>
      <c r="C27" s="587" t="s">
        <v>249</v>
      </c>
      <c r="D27" s="588"/>
      <c r="E27" s="589"/>
      <c r="F27" s="1010"/>
      <c r="G27" s="1010"/>
      <c r="H27" s="1010"/>
      <c r="I27" s="1010"/>
      <c r="J27" s="1010"/>
      <c r="K27" s="1010"/>
      <c r="L27" s="1010"/>
      <c r="M27" s="1010"/>
      <c r="N27" s="1010"/>
      <c r="O27" s="590"/>
      <c r="P27" s="588"/>
      <c r="Q27" s="591"/>
      <c r="R27" s="1022"/>
    </row>
    <row r="28" spans="1:18" ht="14.4" thickBot="1" x14ac:dyDescent="0.3">
      <c r="B28" s="1017"/>
      <c r="C28" s="587" t="s">
        <v>250</v>
      </c>
      <c r="D28" s="588"/>
      <c r="E28" s="589"/>
      <c r="F28" s="1010"/>
      <c r="G28" s="1010"/>
      <c r="H28" s="1010"/>
      <c r="I28" s="1010"/>
      <c r="J28" s="1010"/>
      <c r="K28" s="1010"/>
      <c r="L28" s="1010"/>
      <c r="M28" s="1010"/>
      <c r="N28" s="1010"/>
      <c r="O28" s="590"/>
      <c r="P28" s="588"/>
      <c r="Q28" s="591"/>
      <c r="R28" s="1022"/>
    </row>
    <row r="29" spans="1:18" ht="14.4" thickBot="1" x14ac:dyDescent="0.3">
      <c r="B29" s="1017"/>
      <c r="C29" s="592"/>
      <c r="D29" s="593"/>
      <c r="E29" s="594"/>
      <c r="F29" s="1010"/>
      <c r="G29" s="1010"/>
      <c r="H29" s="1010"/>
      <c r="I29" s="1010"/>
      <c r="J29" s="1010"/>
      <c r="K29" s="1010"/>
      <c r="L29" s="1010"/>
      <c r="M29" s="1010"/>
      <c r="N29" s="1010"/>
      <c r="O29" s="590"/>
      <c r="P29" s="588"/>
      <c r="Q29" s="591"/>
      <c r="R29" s="1022"/>
    </row>
    <row r="30" spans="1:18" ht="30.75" customHeight="1" thickBot="1" x14ac:dyDescent="0.3">
      <c r="B30" s="1018"/>
      <c r="C30" s="1014" t="s">
        <v>252</v>
      </c>
      <c r="D30" s="1015"/>
      <c r="E30" s="606">
        <f>(D26*E26)+(D27*E27)+(D28*E28)+(D29*E29)</f>
        <v>0</v>
      </c>
      <c r="F30" s="1010"/>
      <c r="G30" s="1010"/>
      <c r="H30" s="1010"/>
      <c r="I30" s="1010"/>
      <c r="J30" s="1010"/>
      <c r="K30" s="1010"/>
      <c r="L30" s="1010"/>
      <c r="M30" s="1010"/>
      <c r="N30" s="1010"/>
      <c r="O30" s="1019">
        <f>(P26*Q26)+(P27*Q27)+(P28*Q28)+(P29*Q29)</f>
        <v>0</v>
      </c>
      <c r="P30" s="1019"/>
      <c r="Q30" s="1020"/>
      <c r="R30" s="1023"/>
    </row>
    <row r="31" spans="1:18" ht="14.4" thickBot="1" x14ac:dyDescent="0.3">
      <c r="B31" s="1016"/>
      <c r="C31" s="595" t="s">
        <v>62</v>
      </c>
      <c r="D31" s="596"/>
      <c r="E31" s="597"/>
      <c r="F31" s="1010"/>
      <c r="G31" s="1010"/>
      <c r="H31" s="1010"/>
      <c r="I31" s="1010"/>
      <c r="J31" s="1010"/>
      <c r="K31" s="1010"/>
      <c r="L31" s="1010"/>
      <c r="M31" s="1010"/>
      <c r="N31" s="1010"/>
      <c r="O31" s="598"/>
      <c r="P31" s="596"/>
      <c r="Q31" s="599"/>
      <c r="R31" s="1021">
        <f>(E35+(F31*H31)-(I31*K31)-(L31*N31)-O35)*44/12</f>
        <v>0</v>
      </c>
    </row>
    <row r="32" spans="1:18" ht="14.4" thickBot="1" x14ac:dyDescent="0.3">
      <c r="B32" s="1017"/>
      <c r="C32" s="587" t="s">
        <v>249</v>
      </c>
      <c r="D32" s="588"/>
      <c r="E32" s="589"/>
      <c r="F32" s="1010"/>
      <c r="G32" s="1010"/>
      <c r="H32" s="1010"/>
      <c r="I32" s="1010"/>
      <c r="J32" s="1010"/>
      <c r="K32" s="1010"/>
      <c r="L32" s="1010"/>
      <c r="M32" s="1010"/>
      <c r="N32" s="1010"/>
      <c r="O32" s="590"/>
      <c r="P32" s="588"/>
      <c r="Q32" s="591"/>
      <c r="R32" s="1022"/>
    </row>
    <row r="33" spans="2:18" ht="14.4" thickBot="1" x14ac:dyDescent="0.3">
      <c r="B33" s="1017"/>
      <c r="C33" s="587" t="s">
        <v>250</v>
      </c>
      <c r="D33" s="588"/>
      <c r="E33" s="589"/>
      <c r="F33" s="1010"/>
      <c r="G33" s="1010"/>
      <c r="H33" s="1010"/>
      <c r="I33" s="1010"/>
      <c r="J33" s="1010"/>
      <c r="K33" s="1010"/>
      <c r="L33" s="1010"/>
      <c r="M33" s="1010"/>
      <c r="N33" s="1010"/>
      <c r="O33" s="590"/>
      <c r="P33" s="588"/>
      <c r="Q33" s="591"/>
      <c r="R33" s="1022"/>
    </row>
    <row r="34" spans="2:18" ht="14.4" thickBot="1" x14ac:dyDescent="0.3">
      <c r="B34" s="1017"/>
      <c r="C34" s="592"/>
      <c r="D34" s="593"/>
      <c r="E34" s="594"/>
      <c r="F34" s="1010"/>
      <c r="G34" s="1010"/>
      <c r="H34" s="1010"/>
      <c r="I34" s="1010"/>
      <c r="J34" s="1010"/>
      <c r="K34" s="1010"/>
      <c r="L34" s="1010"/>
      <c r="M34" s="1010"/>
      <c r="N34" s="1010"/>
      <c r="O34" s="590"/>
      <c r="P34" s="588"/>
      <c r="Q34" s="591"/>
      <c r="R34" s="1022"/>
    </row>
    <row r="35" spans="2:18" ht="29.25" customHeight="1" thickBot="1" x14ac:dyDescent="0.3">
      <c r="B35" s="1018"/>
      <c r="C35" s="1014" t="s">
        <v>252</v>
      </c>
      <c r="D35" s="1015"/>
      <c r="E35" s="606">
        <f>(D31*E31)+(D32*E32)+(D33*E33)+(D34*E34)</f>
        <v>0</v>
      </c>
      <c r="F35" s="1010"/>
      <c r="G35" s="1010"/>
      <c r="H35" s="1010"/>
      <c r="I35" s="1010"/>
      <c r="J35" s="1010"/>
      <c r="K35" s="1010"/>
      <c r="L35" s="1010"/>
      <c r="M35" s="1010"/>
      <c r="N35" s="1010"/>
      <c r="O35" s="1019">
        <f>(P31*Q31)+(P32*Q32)+(P33*Q33)+(P34*Q34)</f>
        <v>0</v>
      </c>
      <c r="P35" s="1019"/>
      <c r="Q35" s="1020"/>
      <c r="R35" s="1023"/>
    </row>
    <row r="36" spans="2:18" ht="14.4" thickBot="1" x14ac:dyDescent="0.3">
      <c r="B36" s="1016"/>
      <c r="C36" s="595" t="s">
        <v>62</v>
      </c>
      <c r="D36" s="596"/>
      <c r="E36" s="597"/>
      <c r="F36" s="1010"/>
      <c r="G36" s="1010"/>
      <c r="H36" s="1010"/>
      <c r="I36" s="1010"/>
      <c r="J36" s="1010"/>
      <c r="K36" s="1010"/>
      <c r="L36" s="1010"/>
      <c r="M36" s="1010"/>
      <c r="N36" s="1010"/>
      <c r="O36" s="598"/>
      <c r="P36" s="596"/>
      <c r="Q36" s="599"/>
      <c r="R36" s="1021">
        <f>(E40+(F36*H36)-(I36*K36)-(L36*N36)-O40)*44/12</f>
        <v>0</v>
      </c>
    </row>
    <row r="37" spans="2:18" ht="14.4" thickBot="1" x14ac:dyDescent="0.3">
      <c r="B37" s="1017"/>
      <c r="C37" s="587" t="s">
        <v>249</v>
      </c>
      <c r="D37" s="588"/>
      <c r="E37" s="589"/>
      <c r="F37" s="1010"/>
      <c r="G37" s="1010"/>
      <c r="H37" s="1010"/>
      <c r="I37" s="1010"/>
      <c r="J37" s="1010"/>
      <c r="K37" s="1010"/>
      <c r="L37" s="1010"/>
      <c r="M37" s="1010"/>
      <c r="N37" s="1010"/>
      <c r="O37" s="590"/>
      <c r="P37" s="588"/>
      <c r="Q37" s="591"/>
      <c r="R37" s="1022"/>
    </row>
    <row r="38" spans="2:18" ht="14.4" thickBot="1" x14ac:dyDescent="0.3">
      <c r="B38" s="1017"/>
      <c r="C38" s="587" t="s">
        <v>250</v>
      </c>
      <c r="D38" s="588"/>
      <c r="E38" s="589"/>
      <c r="F38" s="1010"/>
      <c r="G38" s="1010"/>
      <c r="H38" s="1010"/>
      <c r="I38" s="1010"/>
      <c r="J38" s="1010"/>
      <c r="K38" s="1010"/>
      <c r="L38" s="1010"/>
      <c r="M38" s="1010"/>
      <c r="N38" s="1010"/>
      <c r="O38" s="590"/>
      <c r="P38" s="588"/>
      <c r="Q38" s="591"/>
      <c r="R38" s="1022"/>
    </row>
    <row r="39" spans="2:18" ht="14.4" thickBot="1" x14ac:dyDescent="0.3">
      <c r="B39" s="1017"/>
      <c r="C39" s="592"/>
      <c r="D39" s="593"/>
      <c r="E39" s="594"/>
      <c r="F39" s="1010"/>
      <c r="G39" s="1010"/>
      <c r="H39" s="1010"/>
      <c r="I39" s="1010"/>
      <c r="J39" s="1010"/>
      <c r="K39" s="1010"/>
      <c r="L39" s="1010"/>
      <c r="M39" s="1010"/>
      <c r="N39" s="1010"/>
      <c r="O39" s="590"/>
      <c r="P39" s="588"/>
      <c r="Q39" s="591"/>
      <c r="R39" s="1022"/>
    </row>
    <row r="40" spans="2:18" ht="31.5" customHeight="1" thickBot="1" x14ac:dyDescent="0.3">
      <c r="B40" s="1018"/>
      <c r="C40" s="1014" t="s">
        <v>252</v>
      </c>
      <c r="D40" s="1015"/>
      <c r="E40" s="606">
        <f>(D36*E36)+(D37*E37)+(D38*E38)+(D39*E39)</f>
        <v>0</v>
      </c>
      <c r="F40" s="1010"/>
      <c r="G40" s="1010"/>
      <c r="H40" s="1010"/>
      <c r="I40" s="1010"/>
      <c r="J40" s="1010"/>
      <c r="K40" s="1010"/>
      <c r="L40" s="1010"/>
      <c r="M40" s="1010"/>
      <c r="N40" s="1010"/>
      <c r="O40" s="1019">
        <f>(P36*Q36)+(P37*Q37)+(P38*Q38)+(P39*Q39)</f>
        <v>0</v>
      </c>
      <c r="P40" s="1019"/>
      <c r="Q40" s="1020"/>
      <c r="R40" s="1023"/>
    </row>
    <row r="41" spans="2:18" ht="14.4" thickBot="1" x14ac:dyDescent="0.3">
      <c r="B41" s="1016"/>
      <c r="C41" s="595" t="s">
        <v>62</v>
      </c>
      <c r="D41" s="596"/>
      <c r="E41" s="597"/>
      <c r="F41" s="1010"/>
      <c r="G41" s="1010"/>
      <c r="H41" s="1010"/>
      <c r="I41" s="1010"/>
      <c r="J41" s="1010"/>
      <c r="K41" s="1010"/>
      <c r="L41" s="1010"/>
      <c r="M41" s="1010"/>
      <c r="N41" s="1010"/>
      <c r="O41" s="598"/>
      <c r="P41" s="596"/>
      <c r="Q41" s="599"/>
      <c r="R41" s="1021">
        <f>(E45+(F41*H41)-(I41*K41)-(L41*N41)-O45)*44/12</f>
        <v>0</v>
      </c>
    </row>
    <row r="42" spans="2:18" ht="14.4" thickBot="1" x14ac:dyDescent="0.3">
      <c r="B42" s="1017"/>
      <c r="C42" s="587" t="s">
        <v>249</v>
      </c>
      <c r="D42" s="588"/>
      <c r="E42" s="589"/>
      <c r="F42" s="1010"/>
      <c r="G42" s="1010"/>
      <c r="H42" s="1010"/>
      <c r="I42" s="1010"/>
      <c r="J42" s="1010"/>
      <c r="K42" s="1010"/>
      <c r="L42" s="1010"/>
      <c r="M42" s="1010"/>
      <c r="N42" s="1010"/>
      <c r="O42" s="590"/>
      <c r="P42" s="588"/>
      <c r="Q42" s="591"/>
      <c r="R42" s="1022"/>
    </row>
    <row r="43" spans="2:18" ht="14.4" thickBot="1" x14ac:dyDescent="0.3">
      <c r="B43" s="1017"/>
      <c r="C43" s="587" t="s">
        <v>250</v>
      </c>
      <c r="D43" s="588"/>
      <c r="E43" s="589"/>
      <c r="F43" s="1010"/>
      <c r="G43" s="1010"/>
      <c r="H43" s="1010"/>
      <c r="I43" s="1010"/>
      <c r="J43" s="1010"/>
      <c r="K43" s="1010"/>
      <c r="L43" s="1010"/>
      <c r="M43" s="1010"/>
      <c r="N43" s="1010"/>
      <c r="O43" s="590"/>
      <c r="P43" s="588"/>
      <c r="Q43" s="591"/>
      <c r="R43" s="1022"/>
    </row>
    <row r="44" spans="2:18" ht="14.4" thickBot="1" x14ac:dyDescent="0.3">
      <c r="B44" s="1017"/>
      <c r="C44" s="592"/>
      <c r="D44" s="593"/>
      <c r="E44" s="594"/>
      <c r="F44" s="1010"/>
      <c r="G44" s="1010"/>
      <c r="H44" s="1010"/>
      <c r="I44" s="1010"/>
      <c r="J44" s="1010"/>
      <c r="K44" s="1010"/>
      <c r="L44" s="1010"/>
      <c r="M44" s="1010"/>
      <c r="N44" s="1010"/>
      <c r="O44" s="590"/>
      <c r="P44" s="588"/>
      <c r="Q44" s="591"/>
      <c r="R44" s="1022"/>
    </row>
    <row r="45" spans="2:18" ht="30.75" customHeight="1" thickBot="1" x14ac:dyDescent="0.3">
      <c r="B45" s="1018"/>
      <c r="C45" s="1014" t="s">
        <v>252</v>
      </c>
      <c r="D45" s="1015"/>
      <c r="E45" s="606">
        <f>(D41*E41)+(D42*E42)+(D43*E43)+(D44*E44)</f>
        <v>0</v>
      </c>
      <c r="F45" s="1010"/>
      <c r="G45" s="1010"/>
      <c r="H45" s="1010"/>
      <c r="I45" s="1010"/>
      <c r="J45" s="1010"/>
      <c r="K45" s="1010"/>
      <c r="L45" s="1010"/>
      <c r="M45" s="1010"/>
      <c r="N45" s="1010"/>
      <c r="O45" s="1019">
        <f>(P41*Q41)+(P42*Q42)+(P43*Q43)+(P44*Q44)</f>
        <v>0</v>
      </c>
      <c r="P45" s="1019"/>
      <c r="Q45" s="1020"/>
      <c r="R45" s="1023"/>
    </row>
    <row r="46" spans="2:18" ht="16.8" thickBot="1" x14ac:dyDescent="0.4">
      <c r="B46" s="1011" t="s">
        <v>253</v>
      </c>
      <c r="C46" s="1012"/>
      <c r="D46" s="1012"/>
      <c r="E46" s="1012"/>
      <c r="F46" s="1012"/>
      <c r="G46" s="1012"/>
      <c r="H46" s="1012"/>
      <c r="I46" s="1012"/>
      <c r="J46" s="1012"/>
      <c r="K46" s="1012"/>
      <c r="L46" s="1012"/>
      <c r="M46" s="1012"/>
      <c r="N46" s="1012"/>
      <c r="O46" s="1012"/>
      <c r="P46" s="1012"/>
      <c r="Q46" s="1013"/>
      <c r="R46" s="600">
        <f>SUM(R21:R45)</f>
        <v>0</v>
      </c>
    </row>
    <row r="47" spans="2:18" x14ac:dyDescent="0.25">
      <c r="B47" s="8" t="s">
        <v>254</v>
      </c>
      <c r="C47" s="8"/>
      <c r="D47" s="8"/>
      <c r="E47" s="8"/>
      <c r="F47" s="8"/>
      <c r="G47" s="182"/>
      <c r="H47" s="8"/>
    </row>
    <row r="49" spans="1:7" ht="13.8" thickBot="1" x14ac:dyDescent="0.3"/>
    <row r="50" spans="1:7" ht="18.600000000000001" thickBot="1" x14ac:dyDescent="0.45">
      <c r="B50" s="205" t="s">
        <v>255</v>
      </c>
      <c r="C50" s="211"/>
    </row>
    <row r="51" spans="1:7" ht="22.5" customHeight="1" thickBot="1" x14ac:dyDescent="0.3"/>
    <row r="52" spans="1:7" ht="33" thickBot="1" x14ac:dyDescent="0.3">
      <c r="B52" s="208" t="s">
        <v>236</v>
      </c>
      <c r="C52" s="207" t="s">
        <v>256</v>
      </c>
      <c r="D52" s="209" t="s">
        <v>257</v>
      </c>
      <c r="E52" s="212" t="s">
        <v>258</v>
      </c>
    </row>
    <row r="53" spans="1:7" s="116" customFormat="1" ht="47.25" customHeight="1" thickBot="1" x14ac:dyDescent="0.3">
      <c r="A53" s="196" t="s">
        <v>259</v>
      </c>
      <c r="B53" s="195" t="str">
        <f>IF(ISBLANK(B16)," ",B16)</f>
        <v>Facility A</v>
      </c>
      <c r="C53" s="341">
        <f>IF(ISBLANK(I16)," ",I16)</f>
        <v>20</v>
      </c>
      <c r="D53" s="342">
        <v>0.1</v>
      </c>
      <c r="E53" s="241">
        <f>(C53*D53)/1000</f>
        <v>2E-3</v>
      </c>
      <c r="F53"/>
      <c r="G53"/>
    </row>
    <row r="54" spans="1:7" x14ac:dyDescent="0.25">
      <c r="B54" s="609" t="str">
        <f>IF(ISBLANK(B21)," ",B21)</f>
        <v xml:space="preserve"> </v>
      </c>
      <c r="C54" s="601"/>
      <c r="D54" s="601"/>
      <c r="E54" s="607" t="str">
        <f>IFERROR(IF(ISBLANK(C54),"",(C54*D54)/1000),"")</f>
        <v/>
      </c>
    </row>
    <row r="55" spans="1:7" x14ac:dyDescent="0.25">
      <c r="B55" s="610" t="str">
        <f>IF(ISBLANK(B26)," ",B26)</f>
        <v xml:space="preserve"> </v>
      </c>
      <c r="C55" s="602"/>
      <c r="D55" s="602"/>
      <c r="E55" s="607" t="str">
        <f t="shared" ref="E55:E58" si="0">IFERROR(IF(ISBLANK(C55),"",(C55*D55)/1000),"")</f>
        <v/>
      </c>
    </row>
    <row r="56" spans="1:7" x14ac:dyDescent="0.25">
      <c r="B56" s="610" t="str">
        <f>IF(ISBLANK(B31)," ",B31)</f>
        <v xml:space="preserve"> </v>
      </c>
      <c r="C56" s="602"/>
      <c r="D56" s="602"/>
      <c r="E56" s="607" t="str">
        <f t="shared" si="0"/>
        <v/>
      </c>
    </row>
    <row r="57" spans="1:7" x14ac:dyDescent="0.25">
      <c r="B57" s="610" t="str">
        <f>IF(ISBLANK(B36)," ",B36)</f>
        <v xml:space="preserve"> </v>
      </c>
      <c r="C57" s="602"/>
      <c r="D57" s="602"/>
      <c r="E57" s="607" t="str">
        <f t="shared" si="0"/>
        <v/>
      </c>
    </row>
    <row r="58" spans="1:7" ht="13.8" thickBot="1" x14ac:dyDescent="0.3">
      <c r="B58" s="610" t="str">
        <f>IF(ISBLANK(B41)," ",B41)</f>
        <v xml:space="preserve"> </v>
      </c>
      <c r="C58" s="602"/>
      <c r="D58" s="602"/>
      <c r="E58" s="607" t="str">
        <f t="shared" si="0"/>
        <v/>
      </c>
    </row>
    <row r="59" spans="1:7" ht="16.2" thickBot="1" x14ac:dyDescent="0.4">
      <c r="B59" s="603"/>
      <c r="C59" s="604"/>
      <c r="D59" s="605" t="s">
        <v>260</v>
      </c>
      <c r="E59" s="608">
        <f>SUM(E54:E58)</f>
        <v>0</v>
      </c>
    </row>
    <row r="60" spans="1:7" ht="22.5" customHeight="1" x14ac:dyDescent="0.35">
      <c r="B60" s="210" t="s">
        <v>261</v>
      </c>
      <c r="C60" s="10"/>
      <c r="D60" s="10"/>
      <c r="E60" s="10"/>
      <c r="F60" s="183"/>
    </row>
    <row r="61" spans="1:7" ht="24" customHeight="1" x14ac:dyDescent="0.35">
      <c r="B61" s="28" t="s">
        <v>262</v>
      </c>
      <c r="C61" s="1"/>
      <c r="D61" s="1"/>
      <c r="E61" s="1"/>
      <c r="F61" s="179"/>
    </row>
  </sheetData>
  <sheetProtection algorithmName="SHA-512" hashValue="xKZch3Vj+28eyIbsd6dahu+P+Z98uQcCXBvY/VDmxKgvDz22sN7QyQDmme7nyxSHHFluz1PMKm9OVUdD+iODoQ==" saltValue="6ThpE6QagEz2MPSu/9cJvg==" spinCount="100000" sheet="1" objects="1" scenarios="1"/>
  <mergeCells count="87">
    <mergeCell ref="D12:E12"/>
    <mergeCell ref="O14:Q14"/>
    <mergeCell ref="L14:N14"/>
    <mergeCell ref="I14:K14"/>
    <mergeCell ref="J41:J45"/>
    <mergeCell ref="C14:E14"/>
    <mergeCell ref="I31:I35"/>
    <mergeCell ref="M41:M45"/>
    <mergeCell ref="M36:M40"/>
    <mergeCell ref="J36:J40"/>
    <mergeCell ref="J31:J35"/>
    <mergeCell ref="M31:M35"/>
    <mergeCell ref="K31:K35"/>
    <mergeCell ref="L31:L35"/>
    <mergeCell ref="F14:H14"/>
    <mergeCell ref="I26:I30"/>
    <mergeCell ref="K26:K30"/>
    <mergeCell ref="B16:B20"/>
    <mergeCell ref="C20:D20"/>
    <mergeCell ref="C25:D25"/>
    <mergeCell ref="C30:D30"/>
    <mergeCell ref="J16:J20"/>
    <mergeCell ref="G21:G25"/>
    <mergeCell ref="R14:R15"/>
    <mergeCell ref="F16:F20"/>
    <mergeCell ref="F21:F25"/>
    <mergeCell ref="H16:H20"/>
    <mergeCell ref="H21:H25"/>
    <mergeCell ref="I16:I20"/>
    <mergeCell ref="K16:K20"/>
    <mergeCell ref="R16:R20"/>
    <mergeCell ref="I21:I25"/>
    <mergeCell ref="K21:K25"/>
    <mergeCell ref="L21:L25"/>
    <mergeCell ref="N21:N25"/>
    <mergeCell ref="R21:R25"/>
    <mergeCell ref="L16:L20"/>
    <mergeCell ref="N16:N20"/>
    <mergeCell ref="M16:M20"/>
    <mergeCell ref="A16:A20"/>
    <mergeCell ref="O20:Q20"/>
    <mergeCell ref="O25:Q25"/>
    <mergeCell ref="B21:B25"/>
    <mergeCell ref="O30:Q30"/>
    <mergeCell ref="G16:G20"/>
    <mergeCell ref="L26:L30"/>
    <mergeCell ref="N26:N30"/>
    <mergeCell ref="G26:G30"/>
    <mergeCell ref="J21:J25"/>
    <mergeCell ref="M21:M25"/>
    <mergeCell ref="J26:J30"/>
    <mergeCell ref="M26:M30"/>
    <mergeCell ref="B26:B30"/>
    <mergeCell ref="F26:F30"/>
    <mergeCell ref="H26:H30"/>
    <mergeCell ref="R26:R30"/>
    <mergeCell ref="F31:F35"/>
    <mergeCell ref="H31:H35"/>
    <mergeCell ref="K41:K45"/>
    <mergeCell ref="L41:L45"/>
    <mergeCell ref="N41:N45"/>
    <mergeCell ref="R36:R40"/>
    <mergeCell ref="F41:F45"/>
    <mergeCell ref="H41:H45"/>
    <mergeCell ref="R41:R45"/>
    <mergeCell ref="F36:F40"/>
    <mergeCell ref="H36:H40"/>
    <mergeCell ref="I36:I40"/>
    <mergeCell ref="K36:K40"/>
    <mergeCell ref="I41:I45"/>
    <mergeCell ref="R31:R35"/>
    <mergeCell ref="N31:N35"/>
    <mergeCell ref="B46:Q46"/>
    <mergeCell ref="C35:D35"/>
    <mergeCell ref="C40:D40"/>
    <mergeCell ref="C45:D45"/>
    <mergeCell ref="B36:B40"/>
    <mergeCell ref="B41:B45"/>
    <mergeCell ref="B31:B35"/>
    <mergeCell ref="O40:Q40"/>
    <mergeCell ref="O45:Q45"/>
    <mergeCell ref="L36:L40"/>
    <mergeCell ref="N36:N40"/>
    <mergeCell ref="O35:Q35"/>
    <mergeCell ref="G31:G35"/>
    <mergeCell ref="G36:G40"/>
    <mergeCell ref="G41:G45"/>
  </mergeCells>
  <phoneticPr fontId="7" type="noConversion"/>
  <dataValidations count="2">
    <dataValidation type="decimal" errorStyle="information" operator="greaterThan" allowBlank="1" showInputMessage="1" showErrorMessage="1" errorTitle="Incorrect value" error="Value must be greater than zero." sqref="F21:F45 D41:E44 D21:E24 D26:E29 D31:E34 D36:E39 N21:N45 K21:L45 H21:I45" xr:uid="{EF530857-15C9-458C-8212-6857092559E5}">
      <formula1>0</formula1>
    </dataValidation>
    <dataValidation type="list" allowBlank="1" showInputMessage="1" showErrorMessage="1" sqref="D12:E12" xr:uid="{BB450BE0-7C04-49E6-AAD3-832EEB8C8782}">
      <formula1>"Lower heating content, Higher heating content"</formula1>
    </dataValidation>
  </dataValidations>
  <pageMargins left="0.75" right="0.75" top="1" bottom="1" header="0.5" footer="0.5"/>
  <pageSetup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C6B9"/>
  </sheetPr>
  <dimension ref="A2:N60"/>
  <sheetViews>
    <sheetView showGridLines="0" workbookViewId="0"/>
  </sheetViews>
  <sheetFormatPr defaultRowHeight="13.2" x14ac:dyDescent="0.25"/>
  <cols>
    <col min="1" max="1" width="10.33203125" customWidth="1"/>
    <col min="2" max="2" width="11" customWidth="1"/>
    <col min="3" max="3" width="22.88671875" customWidth="1"/>
    <col min="4" max="4" width="17.5546875" customWidth="1"/>
    <col min="5" max="5" width="18.44140625" customWidth="1"/>
    <col min="6" max="6" width="18.109375" customWidth="1"/>
    <col min="7" max="7" width="19.5546875" customWidth="1"/>
    <col min="8" max="8" width="14.44140625" customWidth="1"/>
    <col min="9" max="9" width="20.6640625" customWidth="1"/>
    <col min="10" max="10" width="11.109375" customWidth="1"/>
    <col min="12" max="12" width="17.6640625" customWidth="1"/>
    <col min="13" max="13" width="14.44140625" customWidth="1"/>
  </cols>
  <sheetData>
    <row r="2" spans="1:13" ht="15.6" x14ac:dyDescent="0.3">
      <c r="B2" s="2" t="s">
        <v>263</v>
      </c>
    </row>
    <row r="4" spans="1:13" x14ac:dyDescent="0.25">
      <c r="B4" s="6"/>
      <c r="C4" s="5" t="s">
        <v>225</v>
      </c>
    </row>
    <row r="5" spans="1:13" x14ac:dyDescent="0.25">
      <c r="B5" s="7"/>
      <c r="C5" s="5" t="s">
        <v>226</v>
      </c>
    </row>
    <row r="6" spans="1:13" x14ac:dyDescent="0.25">
      <c r="B6" s="125"/>
      <c r="C6" s="116" t="s">
        <v>7</v>
      </c>
    </row>
    <row r="8" spans="1:13" ht="13.8" thickBot="1" x14ac:dyDescent="0.3"/>
    <row r="9" spans="1:13" ht="18.600000000000001" thickBot="1" x14ac:dyDescent="0.3">
      <c r="B9" s="206" t="s">
        <v>227</v>
      </c>
      <c r="C9" s="211"/>
    </row>
    <row r="10" spans="1:13" ht="19.5" customHeight="1" x14ac:dyDescent="0.25">
      <c r="C10" s="204" t="s">
        <v>228</v>
      </c>
    </row>
    <row r="11" spans="1:13" ht="19.5" customHeight="1" thickBot="1" x14ac:dyDescent="0.3">
      <c r="C11" s="236"/>
    </row>
    <row r="12" spans="1:13" ht="33.75" customHeight="1" thickBot="1" x14ac:dyDescent="0.3">
      <c r="C12" s="420" t="s">
        <v>229</v>
      </c>
      <c r="D12" s="1044"/>
      <c r="E12" s="1045"/>
    </row>
    <row r="13" spans="1:13" ht="19.5" customHeight="1" thickBot="1" x14ac:dyDescent="0.3">
      <c r="C13" s="236"/>
    </row>
    <row r="14" spans="1:13" s="116" customFormat="1" ht="29.25" customHeight="1" thickBot="1" x14ac:dyDescent="0.3">
      <c r="C14" s="1093" t="s">
        <v>230</v>
      </c>
      <c r="D14" s="1047"/>
      <c r="E14" s="1094"/>
      <c r="F14" s="1046" t="s">
        <v>264</v>
      </c>
      <c r="G14" s="1047"/>
      <c r="H14" s="1046" t="s">
        <v>265</v>
      </c>
      <c r="I14" s="1047"/>
      <c r="J14" s="1046" t="s">
        <v>266</v>
      </c>
      <c r="K14" s="1047"/>
      <c r="L14" s="1047"/>
      <c r="M14" s="1033" t="s">
        <v>235</v>
      </c>
    </row>
    <row r="15" spans="1:13" ht="40.200000000000003" thickBot="1" x14ac:dyDescent="0.3">
      <c r="B15" s="117" t="s">
        <v>236</v>
      </c>
      <c r="C15" s="174" t="s">
        <v>83</v>
      </c>
      <c r="D15" s="172" t="s">
        <v>237</v>
      </c>
      <c r="E15" s="177" t="s">
        <v>267</v>
      </c>
      <c r="F15" s="178" t="s">
        <v>237</v>
      </c>
      <c r="G15" s="177" t="s">
        <v>268</v>
      </c>
      <c r="H15" s="178" t="s">
        <v>237</v>
      </c>
      <c r="I15" s="177" t="s">
        <v>269</v>
      </c>
      <c r="J15" s="175" t="s">
        <v>244</v>
      </c>
      <c r="K15" s="175" t="s">
        <v>239</v>
      </c>
      <c r="L15" s="176" t="s">
        <v>245</v>
      </c>
      <c r="M15" s="1034"/>
    </row>
    <row r="16" spans="1:13" ht="12.75" customHeight="1" x14ac:dyDescent="0.25">
      <c r="A16" s="1086" t="s">
        <v>246</v>
      </c>
      <c r="B16" s="1070" t="s">
        <v>247</v>
      </c>
      <c r="C16" s="197" t="s">
        <v>62</v>
      </c>
      <c r="D16" s="198">
        <v>200</v>
      </c>
      <c r="E16" s="198">
        <v>0.73</v>
      </c>
      <c r="F16" s="1080">
        <v>100</v>
      </c>
      <c r="G16" s="1080">
        <v>0.83</v>
      </c>
      <c r="H16" s="1080">
        <v>20</v>
      </c>
      <c r="I16" s="1080">
        <v>0.47</v>
      </c>
      <c r="J16" s="198"/>
      <c r="K16" s="198"/>
      <c r="L16" s="198"/>
      <c r="M16" s="1083">
        <f>(E20-(F16*G16)-(H16*I16)-J20)*44/12</f>
        <v>1113.5666666666668</v>
      </c>
    </row>
    <row r="17" spans="1:14" ht="12.75" customHeight="1" x14ac:dyDescent="0.25">
      <c r="A17" s="1087"/>
      <c r="B17" s="1071"/>
      <c r="C17" s="199" t="s">
        <v>249</v>
      </c>
      <c r="D17" s="200">
        <v>120</v>
      </c>
      <c r="E17" s="200">
        <v>0.73</v>
      </c>
      <c r="F17" s="1081"/>
      <c r="G17" s="1081"/>
      <c r="H17" s="1081"/>
      <c r="I17" s="1081"/>
      <c r="J17" s="200"/>
      <c r="K17" s="200"/>
      <c r="L17" s="200"/>
      <c r="M17" s="1084"/>
    </row>
    <row r="18" spans="1:14" ht="12.75" customHeight="1" x14ac:dyDescent="0.25">
      <c r="A18" s="1087"/>
      <c r="B18" s="1071"/>
      <c r="C18" s="199" t="s">
        <v>250</v>
      </c>
      <c r="D18" s="200">
        <v>90</v>
      </c>
      <c r="E18" s="200">
        <v>0.85</v>
      </c>
      <c r="F18" s="1081"/>
      <c r="G18" s="1081"/>
      <c r="H18" s="1081"/>
      <c r="I18" s="1081"/>
      <c r="J18" s="200"/>
      <c r="K18" s="200"/>
      <c r="L18" s="200"/>
      <c r="M18" s="1084"/>
    </row>
    <row r="19" spans="1:14" ht="12.75" customHeight="1" x14ac:dyDescent="0.25">
      <c r="A19" s="1087"/>
      <c r="B19" s="1071"/>
      <c r="C19" s="201" t="s">
        <v>251</v>
      </c>
      <c r="D19" s="202">
        <v>100</v>
      </c>
      <c r="E19" s="202">
        <v>0.86</v>
      </c>
      <c r="F19" s="1081"/>
      <c r="G19" s="1081"/>
      <c r="H19" s="1081"/>
      <c r="I19" s="1081"/>
      <c r="J19" s="202"/>
      <c r="K19" s="202"/>
      <c r="L19" s="202"/>
      <c r="M19" s="1084"/>
    </row>
    <row r="20" spans="1:14" ht="39" customHeight="1" thickBot="1" x14ac:dyDescent="0.3">
      <c r="A20" s="1088"/>
      <c r="B20" s="1072"/>
      <c r="C20" s="1066" t="s">
        <v>252</v>
      </c>
      <c r="D20" s="1067"/>
      <c r="E20" s="289">
        <f>(D16*E16)+(D17*E17)+(D18*E18)+(D19*E19)</f>
        <v>396.1</v>
      </c>
      <c r="F20" s="1082"/>
      <c r="G20" s="1082"/>
      <c r="H20" s="1082"/>
      <c r="I20" s="1082"/>
      <c r="J20" s="1092">
        <f>(K16*L16)+(K17*L17)+(K18*L18)+(K19*L19)</f>
        <v>0</v>
      </c>
      <c r="K20" s="1092"/>
      <c r="L20" s="1092"/>
      <c r="M20" s="1085"/>
    </row>
    <row r="21" spans="1:14" x14ac:dyDescent="0.25">
      <c r="B21" s="1089"/>
      <c r="C21" s="611" t="s">
        <v>62</v>
      </c>
      <c r="D21" s="612"/>
      <c r="E21" s="612"/>
      <c r="F21" s="1060"/>
      <c r="G21" s="1091"/>
      <c r="H21" s="1060"/>
      <c r="I21" s="1053"/>
      <c r="J21" s="612"/>
      <c r="K21" s="612"/>
      <c r="L21" s="601"/>
      <c r="M21" s="1051">
        <f>(E25-(F21*G21)-(H21*I21)-J25)*44/12</f>
        <v>0</v>
      </c>
      <c r="N21" s="613"/>
    </row>
    <row r="22" spans="1:14" x14ac:dyDescent="0.25">
      <c r="B22" s="1058"/>
      <c r="C22" s="614" t="s">
        <v>249</v>
      </c>
      <c r="D22" s="615"/>
      <c r="E22" s="615"/>
      <c r="F22" s="1060"/>
      <c r="G22" s="1060"/>
      <c r="H22" s="1060"/>
      <c r="I22" s="1053"/>
      <c r="J22" s="615"/>
      <c r="K22" s="615"/>
      <c r="L22" s="602"/>
      <c r="M22" s="1051"/>
      <c r="N22" s="613"/>
    </row>
    <row r="23" spans="1:14" x14ac:dyDescent="0.25">
      <c r="B23" s="1058"/>
      <c r="C23" s="614" t="s">
        <v>250</v>
      </c>
      <c r="D23" s="615"/>
      <c r="E23" s="615"/>
      <c r="F23" s="1060"/>
      <c r="G23" s="1060"/>
      <c r="H23" s="1060"/>
      <c r="I23" s="1053"/>
      <c r="J23" s="615"/>
      <c r="K23" s="615"/>
      <c r="L23" s="602"/>
      <c r="M23" s="1051"/>
      <c r="N23" s="613"/>
    </row>
    <row r="24" spans="1:14" x14ac:dyDescent="0.25">
      <c r="B24" s="1058"/>
      <c r="C24" s="616" t="s">
        <v>251</v>
      </c>
      <c r="D24" s="617"/>
      <c r="E24" s="617"/>
      <c r="F24" s="1060"/>
      <c r="G24" s="1060"/>
      <c r="H24" s="1060"/>
      <c r="I24" s="1053"/>
      <c r="J24" s="618"/>
      <c r="K24" s="618"/>
      <c r="L24" s="619"/>
      <c r="M24" s="1051"/>
      <c r="N24" s="613"/>
    </row>
    <row r="25" spans="1:14" ht="34.5" customHeight="1" thickBot="1" x14ac:dyDescent="0.3">
      <c r="B25" s="1058"/>
      <c r="C25" s="1068" t="s">
        <v>252</v>
      </c>
      <c r="D25" s="1069"/>
      <c r="E25" s="637">
        <f>(D21*E21)+(D22*E22)+(D23*E23)+(D24*E24)</f>
        <v>0</v>
      </c>
      <c r="F25" s="1060"/>
      <c r="G25" s="1060"/>
      <c r="H25" s="1060"/>
      <c r="I25" s="1060"/>
      <c r="J25" s="1078">
        <f>(K21*L21)+(K22*L22)+(K23*L23)+(K24*L24)</f>
        <v>0</v>
      </c>
      <c r="K25" s="1078"/>
      <c r="L25" s="1079"/>
      <c r="M25" s="1051"/>
      <c r="N25" s="613"/>
    </row>
    <row r="26" spans="1:14" x14ac:dyDescent="0.25">
      <c r="B26" s="1057"/>
      <c r="C26" s="620" t="s">
        <v>62</v>
      </c>
      <c r="D26" s="621"/>
      <c r="E26" s="621"/>
      <c r="F26" s="1063"/>
      <c r="G26" s="1090"/>
      <c r="H26" s="1063"/>
      <c r="I26" s="1052"/>
      <c r="J26" s="621"/>
      <c r="K26" s="621"/>
      <c r="L26" s="622"/>
      <c r="M26" s="1055">
        <f>(E30-(F26*G26)-(H26*I26)-J30)*44/12</f>
        <v>0</v>
      </c>
      <c r="N26" s="613"/>
    </row>
    <row r="27" spans="1:14" x14ac:dyDescent="0.25">
      <c r="B27" s="1058"/>
      <c r="C27" s="614" t="s">
        <v>249</v>
      </c>
      <c r="D27" s="615"/>
      <c r="E27" s="615"/>
      <c r="F27" s="1060"/>
      <c r="G27" s="1060"/>
      <c r="H27" s="1060"/>
      <c r="I27" s="1053"/>
      <c r="J27" s="615"/>
      <c r="K27" s="615"/>
      <c r="L27" s="602"/>
      <c r="M27" s="1051"/>
      <c r="N27" s="613"/>
    </row>
    <row r="28" spans="1:14" x14ac:dyDescent="0.25">
      <c r="B28" s="1058"/>
      <c r="C28" s="614" t="s">
        <v>250</v>
      </c>
      <c r="D28" s="615"/>
      <c r="E28" s="615"/>
      <c r="F28" s="1060"/>
      <c r="G28" s="1060"/>
      <c r="H28" s="1060"/>
      <c r="I28" s="1053"/>
      <c r="J28" s="615"/>
      <c r="K28" s="615"/>
      <c r="L28" s="602"/>
      <c r="M28" s="1051"/>
      <c r="N28" s="613"/>
    </row>
    <row r="29" spans="1:14" x14ac:dyDescent="0.25">
      <c r="B29" s="1058"/>
      <c r="C29" s="616"/>
      <c r="D29" s="617"/>
      <c r="E29" s="617"/>
      <c r="F29" s="1060"/>
      <c r="G29" s="1060"/>
      <c r="H29" s="1060"/>
      <c r="I29" s="1053"/>
      <c r="J29" s="618"/>
      <c r="K29" s="618"/>
      <c r="L29" s="619"/>
      <c r="M29" s="1051"/>
      <c r="N29" s="613"/>
    </row>
    <row r="30" spans="1:14" ht="35.25" customHeight="1" thickBot="1" x14ac:dyDescent="0.3">
      <c r="B30" s="1059"/>
      <c r="C30" s="1073" t="s">
        <v>252</v>
      </c>
      <c r="D30" s="1074"/>
      <c r="E30" s="638">
        <f>(D26*E26)+(D27*E27)+(D28*E28)+(D29*E29)</f>
        <v>0</v>
      </c>
      <c r="F30" s="1054"/>
      <c r="G30" s="1054"/>
      <c r="H30" s="1054"/>
      <c r="I30" s="1054"/>
      <c r="J30" s="1061">
        <f>(K26*L26)+(K27*L27)+(K28*L28)+(K29*L29)</f>
        <v>0</v>
      </c>
      <c r="K30" s="1061"/>
      <c r="L30" s="1062"/>
      <c r="M30" s="1056"/>
      <c r="N30" s="613"/>
    </row>
    <row r="31" spans="1:14" x14ac:dyDescent="0.25">
      <c r="B31" s="1057"/>
      <c r="C31" s="620" t="s">
        <v>62</v>
      </c>
      <c r="D31" s="621"/>
      <c r="E31" s="621"/>
      <c r="F31" s="1063"/>
      <c r="G31" s="1063"/>
      <c r="H31" s="1063"/>
      <c r="I31" s="1052"/>
      <c r="J31" s="621"/>
      <c r="K31" s="621"/>
      <c r="L31" s="622"/>
      <c r="M31" s="1055">
        <f>(E35-(F31*G31)-(H31*I31)-J35)*44/12</f>
        <v>0</v>
      </c>
      <c r="N31" s="613"/>
    </row>
    <row r="32" spans="1:14" x14ac:dyDescent="0.25">
      <c r="B32" s="1058"/>
      <c r="C32" s="614" t="s">
        <v>249</v>
      </c>
      <c r="D32" s="615"/>
      <c r="E32" s="615"/>
      <c r="F32" s="1060"/>
      <c r="G32" s="1060"/>
      <c r="H32" s="1060"/>
      <c r="I32" s="1053"/>
      <c r="J32" s="615"/>
      <c r="K32" s="615"/>
      <c r="L32" s="602"/>
      <c r="M32" s="1051"/>
      <c r="N32" s="613"/>
    </row>
    <row r="33" spans="2:14" x14ac:dyDescent="0.25">
      <c r="B33" s="1058"/>
      <c r="C33" s="614" t="s">
        <v>250</v>
      </c>
      <c r="D33" s="615"/>
      <c r="E33" s="615"/>
      <c r="F33" s="1060"/>
      <c r="G33" s="1060"/>
      <c r="H33" s="1060"/>
      <c r="I33" s="1053"/>
      <c r="J33" s="615"/>
      <c r="K33" s="615"/>
      <c r="L33" s="602"/>
      <c r="M33" s="1051"/>
      <c r="N33" s="613"/>
    </row>
    <row r="34" spans="2:14" x14ac:dyDescent="0.25">
      <c r="B34" s="1058"/>
      <c r="C34" s="616"/>
      <c r="D34" s="617"/>
      <c r="E34" s="617"/>
      <c r="F34" s="1060"/>
      <c r="G34" s="1060"/>
      <c r="H34" s="1060"/>
      <c r="I34" s="1053"/>
      <c r="J34" s="618"/>
      <c r="K34" s="618"/>
      <c r="L34" s="619"/>
      <c r="M34" s="1051"/>
      <c r="N34" s="613"/>
    </row>
    <row r="35" spans="2:14" ht="33.75" customHeight="1" thickBot="1" x14ac:dyDescent="0.3">
      <c r="B35" s="1059"/>
      <c r="C35" s="1073" t="s">
        <v>252</v>
      </c>
      <c r="D35" s="1074"/>
      <c r="E35" s="638">
        <f>(D31*E31)+(D32*E32)+(D33*E33)+(D34*E34)</f>
        <v>0</v>
      </c>
      <c r="F35" s="1054"/>
      <c r="G35" s="1054"/>
      <c r="H35" s="1054"/>
      <c r="I35" s="1054"/>
      <c r="J35" s="1061">
        <f>(K31*L31)+(K32*L32)+(K33*L33)+(K34*L34)</f>
        <v>0</v>
      </c>
      <c r="K35" s="1061"/>
      <c r="L35" s="1062"/>
      <c r="M35" s="1056"/>
      <c r="N35" s="613"/>
    </row>
    <row r="36" spans="2:14" x14ac:dyDescent="0.25">
      <c r="B36" s="1057"/>
      <c r="C36" s="620" t="s">
        <v>62</v>
      </c>
      <c r="D36" s="621"/>
      <c r="E36" s="621"/>
      <c r="F36" s="1063"/>
      <c r="G36" s="1063"/>
      <c r="H36" s="1063"/>
      <c r="I36" s="1052"/>
      <c r="J36" s="621"/>
      <c r="K36" s="621"/>
      <c r="L36" s="622"/>
      <c r="M36" s="1055">
        <f>(E40-(F36*G36)-(H36*I36)-J40)*44/12</f>
        <v>0</v>
      </c>
      <c r="N36" s="613"/>
    </row>
    <row r="37" spans="2:14" x14ac:dyDescent="0.25">
      <c r="B37" s="1058"/>
      <c r="C37" s="614" t="s">
        <v>249</v>
      </c>
      <c r="D37" s="615"/>
      <c r="E37" s="615"/>
      <c r="F37" s="1060"/>
      <c r="G37" s="1060"/>
      <c r="H37" s="1060"/>
      <c r="I37" s="1053"/>
      <c r="J37" s="615"/>
      <c r="K37" s="615"/>
      <c r="L37" s="602"/>
      <c r="M37" s="1051"/>
      <c r="N37" s="613"/>
    </row>
    <row r="38" spans="2:14" x14ac:dyDescent="0.25">
      <c r="B38" s="1058"/>
      <c r="C38" s="614" t="s">
        <v>250</v>
      </c>
      <c r="D38" s="615"/>
      <c r="E38" s="615"/>
      <c r="F38" s="1060"/>
      <c r="G38" s="1060"/>
      <c r="H38" s="1060"/>
      <c r="I38" s="1053"/>
      <c r="J38" s="615"/>
      <c r="K38" s="615"/>
      <c r="L38" s="602"/>
      <c r="M38" s="1051"/>
      <c r="N38" s="613"/>
    </row>
    <row r="39" spans="2:14" x14ac:dyDescent="0.25">
      <c r="B39" s="1058"/>
      <c r="C39" s="616"/>
      <c r="D39" s="617"/>
      <c r="E39" s="617"/>
      <c r="F39" s="1060"/>
      <c r="G39" s="1060"/>
      <c r="H39" s="1060"/>
      <c r="I39" s="1053"/>
      <c r="J39" s="618"/>
      <c r="K39" s="618"/>
      <c r="L39" s="619"/>
      <c r="M39" s="1051"/>
      <c r="N39" s="613"/>
    </row>
    <row r="40" spans="2:14" ht="36.75" customHeight="1" thickBot="1" x14ac:dyDescent="0.3">
      <c r="B40" s="1059"/>
      <c r="C40" s="1073" t="s">
        <v>252</v>
      </c>
      <c r="D40" s="1074"/>
      <c r="E40" s="638">
        <f>(D36*E36)+(D37*E37)+(D38*E38)+(D39*E39)</f>
        <v>0</v>
      </c>
      <c r="F40" s="1054"/>
      <c r="G40" s="1054"/>
      <c r="H40" s="1054"/>
      <c r="I40" s="1054"/>
      <c r="J40" s="1061">
        <f>(K36*L36)+(K37*L37)+(K38*L38)+(K39*L39)</f>
        <v>0</v>
      </c>
      <c r="K40" s="1061"/>
      <c r="L40" s="1062"/>
      <c r="M40" s="1056"/>
      <c r="N40" s="613"/>
    </row>
    <row r="41" spans="2:14" x14ac:dyDescent="0.25">
      <c r="B41" s="1058"/>
      <c r="C41" s="611" t="s">
        <v>62</v>
      </c>
      <c r="D41" s="612"/>
      <c r="E41" s="612"/>
      <c r="F41" s="1060"/>
      <c r="G41" s="1060"/>
      <c r="H41" s="1060"/>
      <c r="I41" s="1053"/>
      <c r="J41" s="612"/>
      <c r="K41" s="612"/>
      <c r="L41" s="601"/>
      <c r="M41" s="1051">
        <f>(E45-(F41*G41)-(H41*I41)-J45)*44/12</f>
        <v>0</v>
      </c>
      <c r="N41" s="613"/>
    </row>
    <row r="42" spans="2:14" x14ac:dyDescent="0.25">
      <c r="B42" s="1058"/>
      <c r="C42" s="614" t="s">
        <v>249</v>
      </c>
      <c r="D42" s="615"/>
      <c r="E42" s="615"/>
      <c r="F42" s="1060"/>
      <c r="G42" s="1060"/>
      <c r="H42" s="1060"/>
      <c r="I42" s="1053"/>
      <c r="J42" s="615"/>
      <c r="K42" s="615"/>
      <c r="L42" s="602"/>
      <c r="M42" s="1051"/>
      <c r="N42" s="613"/>
    </row>
    <row r="43" spans="2:14" x14ac:dyDescent="0.25">
      <c r="B43" s="1058"/>
      <c r="C43" s="614" t="s">
        <v>250</v>
      </c>
      <c r="D43" s="615"/>
      <c r="E43" s="615"/>
      <c r="F43" s="1060"/>
      <c r="G43" s="1060"/>
      <c r="H43" s="1060"/>
      <c r="I43" s="1053"/>
      <c r="J43" s="615"/>
      <c r="K43" s="615"/>
      <c r="L43" s="602"/>
      <c r="M43" s="1051"/>
      <c r="N43" s="613"/>
    </row>
    <row r="44" spans="2:14" x14ac:dyDescent="0.25">
      <c r="B44" s="1058"/>
      <c r="C44" s="616"/>
      <c r="D44" s="617"/>
      <c r="E44" s="617"/>
      <c r="F44" s="1060"/>
      <c r="G44" s="1060"/>
      <c r="H44" s="1060"/>
      <c r="I44" s="1053"/>
      <c r="J44" s="618"/>
      <c r="K44" s="618"/>
      <c r="L44" s="619"/>
      <c r="M44" s="1051"/>
      <c r="N44" s="613"/>
    </row>
    <row r="45" spans="2:14" ht="33.75" customHeight="1" thickBot="1" x14ac:dyDescent="0.3">
      <c r="B45" s="1058"/>
      <c r="C45" s="1068" t="s">
        <v>252</v>
      </c>
      <c r="D45" s="1069"/>
      <c r="E45" s="639">
        <f>(D41*E41)+(D42*E42)+(D43*E43)+(D44*E44)</f>
        <v>0</v>
      </c>
      <c r="F45" s="1060"/>
      <c r="G45" s="1060"/>
      <c r="H45" s="1060"/>
      <c r="I45" s="1060"/>
      <c r="J45" s="1078">
        <f>(K41*L41)+(K42*L42)+(K43*L43)+(K44*L44)</f>
        <v>0</v>
      </c>
      <c r="K45" s="1078"/>
      <c r="L45" s="1079"/>
      <c r="M45" s="1056"/>
      <c r="N45" s="613"/>
    </row>
    <row r="46" spans="2:14" ht="16.2" thickBot="1" x14ac:dyDescent="0.4">
      <c r="B46" s="1075" t="s">
        <v>270</v>
      </c>
      <c r="C46" s="1076"/>
      <c r="D46" s="1076"/>
      <c r="E46" s="1076"/>
      <c r="F46" s="1076"/>
      <c r="G46" s="1076"/>
      <c r="H46" s="1076"/>
      <c r="I46" s="1076"/>
      <c r="J46" s="1076"/>
      <c r="K46" s="1076"/>
      <c r="L46" s="1077"/>
      <c r="M46" s="643">
        <f>SUM(M21:M45)</f>
        <v>0</v>
      </c>
      <c r="N46" s="613"/>
    </row>
    <row r="47" spans="2:14" x14ac:dyDescent="0.25">
      <c r="B47" s="623" t="s">
        <v>254</v>
      </c>
      <c r="C47" s="623"/>
      <c r="D47" s="623"/>
      <c r="E47" s="623"/>
      <c r="F47" s="623"/>
      <c r="G47" s="623"/>
      <c r="H47" s="613"/>
      <c r="I47" s="613"/>
      <c r="J47" s="613"/>
      <c r="K47" s="613"/>
      <c r="L47" s="613"/>
      <c r="M47" s="613"/>
      <c r="N47" s="613"/>
    </row>
    <row r="48" spans="2:14" ht="13.8" thickBot="1" x14ac:dyDescent="0.3">
      <c r="B48" s="613"/>
      <c r="C48" s="613"/>
      <c r="D48" s="613"/>
      <c r="E48" s="613"/>
      <c r="F48" s="613"/>
      <c r="G48" s="613"/>
      <c r="H48" s="613"/>
      <c r="I48" s="613"/>
      <c r="J48" s="613"/>
      <c r="K48" s="613"/>
      <c r="L48" s="613"/>
      <c r="M48" s="613"/>
      <c r="N48" s="613"/>
    </row>
    <row r="49" spans="1:14" ht="18.600000000000001" thickBot="1" x14ac:dyDescent="0.45">
      <c r="B49" s="624" t="s">
        <v>271</v>
      </c>
      <c r="C49" s="625"/>
      <c r="D49" s="613"/>
      <c r="E49" s="613"/>
      <c r="F49" s="626"/>
      <c r="G49" s="613"/>
      <c r="H49" s="613"/>
      <c r="I49" s="613"/>
      <c r="J49" s="613"/>
      <c r="K49" s="613"/>
      <c r="L49" s="613"/>
      <c r="M49" s="613"/>
      <c r="N49" s="613"/>
    </row>
    <row r="50" spans="1:14" ht="13.8" thickBot="1" x14ac:dyDescent="0.3">
      <c r="B50" s="627"/>
      <c r="C50" s="627"/>
      <c r="D50" s="613"/>
      <c r="E50" s="613"/>
      <c r="F50" s="613"/>
      <c r="G50" s="613"/>
      <c r="H50" s="613"/>
      <c r="I50" s="613"/>
      <c r="J50" s="613"/>
      <c r="K50" s="613"/>
      <c r="L50" s="613"/>
      <c r="M50" s="613"/>
      <c r="N50" s="613"/>
    </row>
    <row r="51" spans="1:14" ht="47.4" thickBot="1" x14ac:dyDescent="0.3">
      <c r="B51" s="628" t="s">
        <v>236</v>
      </c>
      <c r="C51" s="629" t="s">
        <v>272</v>
      </c>
      <c r="D51" s="630" t="s">
        <v>273</v>
      </c>
      <c r="E51" s="631" t="s">
        <v>274</v>
      </c>
      <c r="F51" s="613"/>
      <c r="G51" s="613"/>
      <c r="H51" s="613"/>
      <c r="I51" s="613"/>
      <c r="J51" s="613"/>
      <c r="K51" s="613"/>
      <c r="L51" s="613"/>
      <c r="M51" s="613"/>
      <c r="N51" s="613"/>
    </row>
    <row r="52" spans="1:14" ht="12.75" customHeight="1" thickBot="1" x14ac:dyDescent="0.3">
      <c r="A52" s="118" t="s">
        <v>259</v>
      </c>
      <c r="B52" s="632" t="s">
        <v>247</v>
      </c>
      <c r="C52" s="633">
        <v>120</v>
      </c>
      <c r="D52" s="634">
        <v>0.1</v>
      </c>
      <c r="E52" s="635">
        <f>(C52*D52)/1000</f>
        <v>1.2E-2</v>
      </c>
      <c r="F52" s="613"/>
      <c r="G52" s="613"/>
      <c r="H52" s="613"/>
      <c r="I52" s="613"/>
      <c r="J52" s="613"/>
      <c r="K52" s="613"/>
      <c r="L52" s="613"/>
      <c r="M52" s="613"/>
      <c r="N52" s="613"/>
    </row>
    <row r="53" spans="1:14" x14ac:dyDescent="0.25">
      <c r="B53" s="642" t="str">
        <f>IF(ISBLANK(B21)," ",B21)</f>
        <v xml:space="preserve"> </v>
      </c>
      <c r="C53" s="611"/>
      <c r="D53" s="601"/>
      <c r="E53" s="640">
        <f t="shared" ref="E53:E57" si="0">(C53*D53)/1000</f>
        <v>0</v>
      </c>
      <c r="F53" s="613"/>
      <c r="G53" s="613"/>
      <c r="H53" s="613"/>
      <c r="I53" s="613"/>
      <c r="J53" s="613"/>
      <c r="K53" s="613"/>
      <c r="L53" s="613"/>
      <c r="M53" s="613"/>
      <c r="N53" s="613"/>
    </row>
    <row r="54" spans="1:14" x14ac:dyDescent="0.25">
      <c r="B54" s="610" t="str">
        <f>IF(ISBLANK(B26)," ",B26)</f>
        <v xml:space="preserve"> </v>
      </c>
      <c r="C54" s="614"/>
      <c r="D54" s="602"/>
      <c r="E54" s="607">
        <f t="shared" si="0"/>
        <v>0</v>
      </c>
      <c r="F54" s="613"/>
      <c r="G54" s="613"/>
      <c r="H54" s="613"/>
      <c r="I54" s="613"/>
      <c r="J54" s="613"/>
      <c r="K54" s="613"/>
      <c r="L54" s="613"/>
      <c r="M54" s="613"/>
      <c r="N54" s="613"/>
    </row>
    <row r="55" spans="1:14" x14ac:dyDescent="0.25">
      <c r="B55" s="610" t="str">
        <f>IF(ISBLANK(B31)," ",B31)</f>
        <v xml:space="preserve"> </v>
      </c>
      <c r="C55" s="636"/>
      <c r="D55" s="602"/>
      <c r="E55" s="607">
        <f t="shared" si="0"/>
        <v>0</v>
      </c>
      <c r="F55" s="613"/>
      <c r="G55" s="613"/>
      <c r="H55" s="613"/>
      <c r="I55" s="613"/>
      <c r="J55" s="613"/>
      <c r="K55" s="613"/>
      <c r="L55" s="613"/>
      <c r="M55" s="613"/>
      <c r="N55" s="613"/>
    </row>
    <row r="56" spans="1:14" x14ac:dyDescent="0.25">
      <c r="B56" s="610" t="str">
        <f>IF(ISBLANK(B36)," ",B36)</f>
        <v xml:space="preserve"> </v>
      </c>
      <c r="C56" s="614"/>
      <c r="D56" s="602"/>
      <c r="E56" s="607">
        <f t="shared" si="0"/>
        <v>0</v>
      </c>
      <c r="F56" s="613"/>
      <c r="G56" s="613"/>
      <c r="H56" s="613"/>
      <c r="I56" s="613"/>
      <c r="J56" s="613"/>
      <c r="K56" s="613"/>
      <c r="L56" s="613"/>
      <c r="M56" s="613"/>
      <c r="N56" s="613"/>
    </row>
    <row r="57" spans="1:14" ht="13.8" thickBot="1" x14ac:dyDescent="0.3">
      <c r="B57" s="610" t="str">
        <f>IF(ISBLANK(B41)," ",B41)</f>
        <v xml:space="preserve"> </v>
      </c>
      <c r="C57" s="614"/>
      <c r="D57" s="602"/>
      <c r="E57" s="607">
        <f t="shared" si="0"/>
        <v>0</v>
      </c>
      <c r="F57" s="613"/>
      <c r="G57" s="613"/>
      <c r="H57" s="613"/>
      <c r="I57" s="613"/>
      <c r="J57" s="613"/>
      <c r="K57" s="613"/>
      <c r="L57" s="613"/>
      <c r="M57" s="613"/>
      <c r="N57" s="613"/>
    </row>
    <row r="58" spans="1:14" ht="24" customHeight="1" thickBot="1" x14ac:dyDescent="0.3">
      <c r="B58" s="1064" t="s">
        <v>260</v>
      </c>
      <c r="C58" s="1065"/>
      <c r="D58" s="1065"/>
      <c r="E58" s="641">
        <f>SUM(E53:E57)</f>
        <v>0</v>
      </c>
      <c r="F58" s="613"/>
      <c r="G58" s="613"/>
      <c r="H58" s="613"/>
      <c r="I58" s="613"/>
      <c r="J58" s="613"/>
      <c r="K58" s="613"/>
      <c r="L58" s="613"/>
      <c r="M58" s="613"/>
      <c r="N58" s="613"/>
    </row>
    <row r="59" spans="1:14" ht="15.6" x14ac:dyDescent="0.35">
      <c r="B59" s="210" t="s">
        <v>261</v>
      </c>
      <c r="C59" s="10"/>
      <c r="D59" s="10"/>
      <c r="E59" s="10"/>
      <c r="F59" s="10"/>
    </row>
    <row r="60" spans="1:14" ht="16.8" x14ac:dyDescent="0.35">
      <c r="B60" s="28" t="s">
        <v>275</v>
      </c>
      <c r="C60" s="1"/>
      <c r="D60" s="1"/>
      <c r="E60" s="1"/>
      <c r="F60" s="1"/>
    </row>
  </sheetData>
  <sheetProtection algorithmName="SHA-512" hashValue="g8upYEWbxTrE4wqixl8qI5UGXB4G5qVjxzUD1Eo7G/Enri9gDPC3WE5Xgjy/SRohlfNunzzXxd03qDLXWh4Lmg==" saltValue="QXA45EtfcoYROIhMDOh8gg==" spinCount="100000" sheet="1" objects="1" scenarios="1"/>
  <mergeCells count="57">
    <mergeCell ref="D12:E12"/>
    <mergeCell ref="F14:G14"/>
    <mergeCell ref="H14:I14"/>
    <mergeCell ref="J14:L14"/>
    <mergeCell ref="J20:L20"/>
    <mergeCell ref="C14:E14"/>
    <mergeCell ref="A16:A20"/>
    <mergeCell ref="J25:L25"/>
    <mergeCell ref="B21:B25"/>
    <mergeCell ref="F26:F30"/>
    <mergeCell ref="G26:G30"/>
    <mergeCell ref="I21:I25"/>
    <mergeCell ref="H21:H25"/>
    <mergeCell ref="I26:I30"/>
    <mergeCell ref="H26:H30"/>
    <mergeCell ref="C30:D30"/>
    <mergeCell ref="F21:F25"/>
    <mergeCell ref="G21:G25"/>
    <mergeCell ref="M14:M15"/>
    <mergeCell ref="F16:F20"/>
    <mergeCell ref="G16:G20"/>
    <mergeCell ref="M16:M20"/>
    <mergeCell ref="H16:H20"/>
    <mergeCell ref="I16:I20"/>
    <mergeCell ref="B58:D58"/>
    <mergeCell ref="C20:D20"/>
    <mergeCell ref="C25:D25"/>
    <mergeCell ref="B26:B30"/>
    <mergeCell ref="B41:B45"/>
    <mergeCell ref="B16:B20"/>
    <mergeCell ref="C40:D40"/>
    <mergeCell ref="C45:D45"/>
    <mergeCell ref="B46:L46"/>
    <mergeCell ref="J35:L35"/>
    <mergeCell ref="I41:I45"/>
    <mergeCell ref="C35:D35"/>
    <mergeCell ref="J40:L40"/>
    <mergeCell ref="J45:L45"/>
    <mergeCell ref="H36:H40"/>
    <mergeCell ref="B31:B35"/>
    <mergeCell ref="B36:B40"/>
    <mergeCell ref="M41:M45"/>
    <mergeCell ref="H41:H45"/>
    <mergeCell ref="J30:L30"/>
    <mergeCell ref="F36:F40"/>
    <mergeCell ref="F31:F35"/>
    <mergeCell ref="G31:G35"/>
    <mergeCell ref="H31:H35"/>
    <mergeCell ref="G36:G40"/>
    <mergeCell ref="G41:G45"/>
    <mergeCell ref="F41:F45"/>
    <mergeCell ref="M21:M25"/>
    <mergeCell ref="I31:I35"/>
    <mergeCell ref="M31:M35"/>
    <mergeCell ref="M26:M30"/>
    <mergeCell ref="I36:I40"/>
    <mergeCell ref="M36:M40"/>
  </mergeCells>
  <phoneticPr fontId="7" type="noConversion"/>
  <dataValidations count="2">
    <dataValidation type="decimal" errorStyle="information" operator="greaterThan" allowBlank="1" showInputMessage="1" showErrorMessage="1" errorTitle="Incorrect value" error="Value must be greater than zero." sqref="D21:E24 D26:E29 D31:E34 D36:E39 D41:E44 F21:F45 H21:H45 K26:L29 K31:L34 K36:L39 K41:L44 K21:L24" xr:uid="{18B7D106-A51F-44E2-AD4F-B127E9BC5A82}">
      <formula1>0</formula1>
    </dataValidation>
    <dataValidation type="list" allowBlank="1" showInputMessage="1" showErrorMessage="1" sqref="D12:E12" xr:uid="{68EEF9F1-7FA2-43CF-8320-A19447230BBA}">
      <formula1>"Lower heating content, Higher heating content"</formula1>
    </dataValidation>
  </dataValidations>
  <pageMargins left="0.75" right="0.75" top="1" bottom="1" header="0.5" footer="0.5"/>
  <pageSetup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C6B9"/>
  </sheetPr>
  <dimension ref="B2:N44"/>
  <sheetViews>
    <sheetView showGridLines="0" workbookViewId="0"/>
  </sheetViews>
  <sheetFormatPr defaultRowHeight="13.2" x14ac:dyDescent="0.25"/>
  <cols>
    <col min="1" max="1" width="9.109375" customWidth="1"/>
    <col min="2" max="2" width="10.33203125" customWidth="1"/>
    <col min="3" max="3" width="14.6640625" customWidth="1"/>
    <col min="4" max="4" width="12" customWidth="1"/>
    <col min="5" max="5" width="24.5546875" customWidth="1"/>
    <col min="6" max="9" width="23.6640625" customWidth="1"/>
    <col min="10" max="10" width="19.5546875" customWidth="1"/>
    <col min="11" max="11" width="17.109375" customWidth="1"/>
    <col min="12" max="12" width="16" customWidth="1"/>
    <col min="13" max="13" width="19.33203125" customWidth="1"/>
  </cols>
  <sheetData>
    <row r="2" spans="2:14" ht="18" x14ac:dyDescent="0.4">
      <c r="B2" s="2" t="s">
        <v>276</v>
      </c>
    </row>
    <row r="4" spans="2:14" x14ac:dyDescent="0.25">
      <c r="B4" s="6"/>
      <c r="C4" t="s">
        <v>225</v>
      </c>
    </row>
    <row r="5" spans="2:14" x14ac:dyDescent="0.25">
      <c r="B5" s="7"/>
      <c r="C5" t="s">
        <v>226</v>
      </c>
    </row>
    <row r="6" spans="2:14" x14ac:dyDescent="0.25">
      <c r="B6" s="125"/>
      <c r="C6" s="116" t="s">
        <v>7</v>
      </c>
    </row>
    <row r="7" spans="2:14" ht="13.8" thickBot="1" x14ac:dyDescent="0.3"/>
    <row r="8" spans="2:14" ht="35.25" customHeight="1" thickBot="1" x14ac:dyDescent="0.3">
      <c r="B8" s="613"/>
      <c r="C8" s="613"/>
      <c r="D8" s="1131" t="s">
        <v>277</v>
      </c>
      <c r="E8" s="1132"/>
      <c r="F8" s="1133"/>
      <c r="G8" s="644" t="s">
        <v>278</v>
      </c>
      <c r="H8" s="645" t="s">
        <v>279</v>
      </c>
      <c r="I8" s="645" t="s">
        <v>280</v>
      </c>
      <c r="J8" s="1104" t="s">
        <v>281</v>
      </c>
      <c r="K8" s="1104" t="s">
        <v>235</v>
      </c>
      <c r="L8" s="1104" t="s">
        <v>282</v>
      </c>
      <c r="M8" s="613"/>
      <c r="N8" s="613"/>
    </row>
    <row r="9" spans="2:14" ht="61.5" customHeight="1" thickBot="1" x14ac:dyDescent="0.3">
      <c r="B9" s="646" t="s">
        <v>236</v>
      </c>
      <c r="C9" s="631" t="s">
        <v>283</v>
      </c>
      <c r="D9" s="647" t="s">
        <v>284</v>
      </c>
      <c r="E9" s="648" t="s">
        <v>285</v>
      </c>
      <c r="F9" s="649" t="s">
        <v>286</v>
      </c>
      <c r="G9" s="650" t="s">
        <v>287</v>
      </c>
      <c r="H9" s="650" t="s">
        <v>288</v>
      </c>
      <c r="I9" s="650" t="s">
        <v>289</v>
      </c>
      <c r="J9" s="1105"/>
      <c r="K9" s="1105"/>
      <c r="L9" s="1105"/>
      <c r="M9" s="613"/>
      <c r="N9" s="613"/>
    </row>
    <row r="10" spans="2:14" x14ac:dyDescent="0.25">
      <c r="B10" s="1140" t="s">
        <v>290</v>
      </c>
      <c r="C10" s="1143">
        <v>20000000</v>
      </c>
      <c r="D10" s="651" t="s">
        <v>291</v>
      </c>
      <c r="E10" s="652">
        <v>0.8</v>
      </c>
      <c r="F10" s="653">
        <v>1</v>
      </c>
      <c r="G10" s="1106">
        <v>0.12</v>
      </c>
      <c r="H10" s="1106">
        <v>0.98</v>
      </c>
      <c r="I10" s="1106">
        <v>0.02</v>
      </c>
      <c r="J10" s="1143">
        <v>0.8</v>
      </c>
      <c r="K10" s="1120">
        <f>C10*(1/379.3)*((D14*H10)+(G10))*44*(1/2204.62)</f>
        <v>1094.6903408984031</v>
      </c>
      <c r="L10" s="1115">
        <f xml:space="preserve"> C10*(J10)*(I10)*(1/379.3)*(16)*(1/2204.62)</f>
        <v>6.1228465497244278</v>
      </c>
      <c r="M10" s="613"/>
      <c r="N10" s="613"/>
    </row>
    <row r="11" spans="2:14" x14ac:dyDescent="0.25">
      <c r="B11" s="1141"/>
      <c r="C11" s="1144"/>
      <c r="D11" s="654" t="s">
        <v>292</v>
      </c>
      <c r="E11" s="655">
        <v>4.2000000000000003E-2</v>
      </c>
      <c r="F11" s="656">
        <v>2</v>
      </c>
      <c r="G11" s="1107"/>
      <c r="H11" s="1107"/>
      <c r="I11" s="1107"/>
      <c r="J11" s="1144"/>
      <c r="K11" s="1121"/>
      <c r="L11" s="1116"/>
      <c r="M11" s="613"/>
      <c r="N11" s="613"/>
    </row>
    <row r="12" spans="2:14" x14ac:dyDescent="0.25">
      <c r="B12" s="1141"/>
      <c r="C12" s="1144"/>
      <c r="D12" s="654" t="s">
        <v>293</v>
      </c>
      <c r="E12" s="655">
        <v>1.2999999999999999E-2</v>
      </c>
      <c r="F12" s="656">
        <v>3</v>
      </c>
      <c r="G12" s="1107"/>
      <c r="H12" s="1107"/>
      <c r="I12" s="1107"/>
      <c r="J12" s="1144"/>
      <c r="K12" s="1121"/>
      <c r="L12" s="1116"/>
      <c r="M12" s="613"/>
      <c r="N12" s="613"/>
    </row>
    <row r="13" spans="2:14" x14ac:dyDescent="0.25">
      <c r="B13" s="1141"/>
      <c r="C13" s="1144"/>
      <c r="D13" s="657" t="s">
        <v>294</v>
      </c>
      <c r="E13" s="658">
        <v>4.0000000000000001E-3</v>
      </c>
      <c r="F13" s="659">
        <v>4</v>
      </c>
      <c r="G13" s="1107"/>
      <c r="H13" s="1107"/>
      <c r="I13" s="1107"/>
      <c r="J13" s="1144"/>
      <c r="K13" s="1121"/>
      <c r="L13" s="1116"/>
      <c r="M13" s="613"/>
      <c r="N13" s="613"/>
    </row>
    <row r="14" spans="2:14" ht="13.8" thickBot="1" x14ac:dyDescent="0.3">
      <c r="B14" s="1142"/>
      <c r="C14" s="1145"/>
      <c r="D14" s="1137">
        <f>(E10*F10)+(E11*F11)+(E12*F12)+(E13*F13)</f>
        <v>0.93900000000000006</v>
      </c>
      <c r="E14" s="1138"/>
      <c r="F14" s="1139"/>
      <c r="G14" s="1108"/>
      <c r="H14" s="1108"/>
      <c r="I14" s="1108"/>
      <c r="J14" s="1145"/>
      <c r="K14" s="1122"/>
      <c r="L14" s="1117"/>
      <c r="M14" s="613"/>
      <c r="N14" s="613"/>
    </row>
    <row r="15" spans="2:14" x14ac:dyDescent="0.25">
      <c r="B15" s="1058"/>
      <c r="C15" s="1135"/>
      <c r="D15" s="611"/>
      <c r="E15" s="612"/>
      <c r="F15" s="660"/>
      <c r="G15" s="1098"/>
      <c r="H15" s="1098"/>
      <c r="I15" s="1098"/>
      <c r="J15" s="1125"/>
      <c r="K15" s="1128">
        <f>C15*(1/379.3)*((D19*H15)+(G15))*44*(1/2204.62)</f>
        <v>0</v>
      </c>
      <c r="L15" s="1118">
        <f xml:space="preserve"> C15*(J15)*(I15)*(1/379.3)*(16)*(1/2204.62)</f>
        <v>0</v>
      </c>
      <c r="M15" s="613"/>
      <c r="N15" s="613"/>
    </row>
    <row r="16" spans="2:14" x14ac:dyDescent="0.25">
      <c r="B16" s="1058"/>
      <c r="C16" s="1135"/>
      <c r="D16" s="614"/>
      <c r="E16" s="615"/>
      <c r="F16" s="661"/>
      <c r="G16" s="1099"/>
      <c r="H16" s="1099"/>
      <c r="I16" s="1099"/>
      <c r="J16" s="1125"/>
      <c r="K16" s="1128"/>
      <c r="L16" s="1110"/>
      <c r="M16" s="613"/>
      <c r="N16" s="613"/>
    </row>
    <row r="17" spans="2:14" x14ac:dyDescent="0.25">
      <c r="B17" s="1058"/>
      <c r="C17" s="1135"/>
      <c r="D17" s="614"/>
      <c r="E17" s="615"/>
      <c r="F17" s="661"/>
      <c r="G17" s="1099"/>
      <c r="H17" s="1099"/>
      <c r="I17" s="1099"/>
      <c r="J17" s="1125"/>
      <c r="K17" s="1128"/>
      <c r="L17" s="1110"/>
      <c r="M17" s="613"/>
      <c r="N17" s="613"/>
    </row>
    <row r="18" spans="2:14" x14ac:dyDescent="0.25">
      <c r="B18" s="1058"/>
      <c r="C18" s="1135"/>
      <c r="D18" s="616"/>
      <c r="E18" s="617"/>
      <c r="F18" s="662"/>
      <c r="G18" s="1099"/>
      <c r="H18" s="1099"/>
      <c r="I18" s="1099"/>
      <c r="J18" s="1125"/>
      <c r="K18" s="1128"/>
      <c r="L18" s="1110"/>
      <c r="M18" s="613"/>
      <c r="N18" s="613"/>
    </row>
    <row r="19" spans="2:14" ht="13.8" thickBot="1" x14ac:dyDescent="0.3">
      <c r="B19" s="1123"/>
      <c r="C19" s="1136"/>
      <c r="D19" s="1095">
        <f>(E15*F15)+(E16*F16)+(E17*F17)+(E18*F18)</f>
        <v>0</v>
      </c>
      <c r="E19" s="1096"/>
      <c r="F19" s="1097"/>
      <c r="G19" s="1100"/>
      <c r="H19" s="1100"/>
      <c r="I19" s="1100"/>
      <c r="J19" s="1126"/>
      <c r="K19" s="1129"/>
      <c r="L19" s="1119"/>
      <c r="M19" s="613"/>
      <c r="N19" s="613"/>
    </row>
    <row r="20" spans="2:14" x14ac:dyDescent="0.25">
      <c r="B20" s="1057"/>
      <c r="C20" s="1134"/>
      <c r="D20" s="620"/>
      <c r="E20" s="621"/>
      <c r="F20" s="663"/>
      <c r="G20" s="1102"/>
      <c r="H20" s="1102"/>
      <c r="I20" s="1103"/>
      <c r="J20" s="1124"/>
      <c r="K20" s="1127">
        <f t="shared" ref="K20" si="0">C20*(1/379.3)*((D24*H20)+(G20))*44*(1/2204.62)</f>
        <v>0</v>
      </c>
      <c r="L20" s="1109">
        <f t="shared" ref="L20" si="1" xml:space="preserve"> C20*(J20)*(I20)*(1/379.3)*(16)*(1/2204.62)</f>
        <v>0</v>
      </c>
      <c r="M20" s="613"/>
      <c r="N20" s="613"/>
    </row>
    <row r="21" spans="2:14" x14ac:dyDescent="0.25">
      <c r="B21" s="1058"/>
      <c r="C21" s="1135"/>
      <c r="D21" s="614"/>
      <c r="E21" s="615"/>
      <c r="F21" s="661"/>
      <c r="G21" s="1099"/>
      <c r="H21" s="1099"/>
      <c r="I21" s="1099"/>
      <c r="J21" s="1125"/>
      <c r="K21" s="1128"/>
      <c r="L21" s="1110"/>
      <c r="M21" s="613"/>
      <c r="N21" s="613"/>
    </row>
    <row r="22" spans="2:14" x14ac:dyDescent="0.25">
      <c r="B22" s="1058"/>
      <c r="C22" s="1135"/>
      <c r="D22" s="614"/>
      <c r="E22" s="615"/>
      <c r="F22" s="661"/>
      <c r="G22" s="1099"/>
      <c r="H22" s="1099"/>
      <c r="I22" s="1099"/>
      <c r="J22" s="1125"/>
      <c r="K22" s="1128"/>
      <c r="L22" s="1110"/>
      <c r="M22" s="613"/>
      <c r="N22" s="613"/>
    </row>
    <row r="23" spans="2:14" x14ac:dyDescent="0.25">
      <c r="B23" s="1058"/>
      <c r="C23" s="1135"/>
      <c r="D23" s="616"/>
      <c r="E23" s="617"/>
      <c r="F23" s="662"/>
      <c r="G23" s="1099"/>
      <c r="H23" s="1099"/>
      <c r="I23" s="1099"/>
      <c r="J23" s="1125"/>
      <c r="K23" s="1128"/>
      <c r="L23" s="1110"/>
      <c r="M23" s="613"/>
      <c r="N23" s="613"/>
    </row>
    <row r="24" spans="2:14" ht="13.8" thickBot="1" x14ac:dyDescent="0.3">
      <c r="B24" s="1123"/>
      <c r="C24" s="1136"/>
      <c r="D24" s="1095">
        <f>(E20*F20)+(E21*F21)+(E22*F22)+(E23*F23)</f>
        <v>0</v>
      </c>
      <c r="E24" s="1096"/>
      <c r="F24" s="1097"/>
      <c r="G24" s="1100"/>
      <c r="H24" s="1100"/>
      <c r="I24" s="1100"/>
      <c r="J24" s="1126"/>
      <c r="K24" s="1129"/>
      <c r="L24" s="1119"/>
      <c r="M24" s="613"/>
      <c r="N24" s="613"/>
    </row>
    <row r="25" spans="2:14" x14ac:dyDescent="0.25">
      <c r="B25" s="1057"/>
      <c r="C25" s="1134"/>
      <c r="D25" s="620"/>
      <c r="E25" s="621"/>
      <c r="F25" s="663"/>
      <c r="G25" s="1098"/>
      <c r="H25" s="1098"/>
      <c r="I25" s="1098"/>
      <c r="J25" s="1124"/>
      <c r="K25" s="1112">
        <f t="shared" ref="K25" si="2">C25*(1/379.3)*((D29*H25)+(G25))*44*(1/2204.62)</f>
        <v>0</v>
      </c>
      <c r="L25" s="1109">
        <f t="shared" ref="L25" si="3" xml:space="preserve"> C25*(J25)*(I25)*(1/379.3)*(16)*(1/2204.62)</f>
        <v>0</v>
      </c>
      <c r="M25" s="613"/>
      <c r="N25" s="613"/>
    </row>
    <row r="26" spans="2:14" x14ac:dyDescent="0.25">
      <c r="B26" s="1058"/>
      <c r="C26" s="1135"/>
      <c r="D26" s="614"/>
      <c r="E26" s="615"/>
      <c r="F26" s="661"/>
      <c r="G26" s="1099"/>
      <c r="H26" s="1099"/>
      <c r="I26" s="1099"/>
      <c r="J26" s="1125"/>
      <c r="K26" s="1113"/>
      <c r="L26" s="1110"/>
      <c r="M26" s="613"/>
      <c r="N26" s="613"/>
    </row>
    <row r="27" spans="2:14" x14ac:dyDescent="0.25">
      <c r="B27" s="1058"/>
      <c r="C27" s="1135"/>
      <c r="D27" s="614"/>
      <c r="E27" s="615"/>
      <c r="F27" s="661"/>
      <c r="G27" s="1099"/>
      <c r="H27" s="1099"/>
      <c r="I27" s="1099"/>
      <c r="J27" s="1125"/>
      <c r="K27" s="1113"/>
      <c r="L27" s="1110"/>
      <c r="M27" s="613"/>
      <c r="N27" s="613"/>
    </row>
    <row r="28" spans="2:14" x14ac:dyDescent="0.25">
      <c r="B28" s="1058"/>
      <c r="C28" s="1135"/>
      <c r="D28" s="616"/>
      <c r="E28" s="617"/>
      <c r="F28" s="662"/>
      <c r="G28" s="1099"/>
      <c r="H28" s="1099"/>
      <c r="I28" s="1099"/>
      <c r="J28" s="1125"/>
      <c r="K28" s="1113"/>
      <c r="L28" s="1110"/>
      <c r="M28" s="613"/>
      <c r="N28" s="613"/>
    </row>
    <row r="29" spans="2:14" ht="13.8" thickBot="1" x14ac:dyDescent="0.3">
      <c r="B29" s="1123"/>
      <c r="C29" s="1136"/>
      <c r="D29" s="1095">
        <f>(E25*F25)+(E26*F26)+(E27*F27)+(E28*F28)</f>
        <v>0</v>
      </c>
      <c r="E29" s="1096"/>
      <c r="F29" s="1097"/>
      <c r="G29" s="1100"/>
      <c r="H29" s="1100"/>
      <c r="I29" s="1100"/>
      <c r="J29" s="1126"/>
      <c r="K29" s="1114"/>
      <c r="L29" s="1119"/>
      <c r="M29" s="613"/>
      <c r="N29" s="613"/>
    </row>
    <row r="30" spans="2:14" x14ac:dyDescent="0.25">
      <c r="B30" s="1057"/>
      <c r="C30" s="1134"/>
      <c r="D30" s="620"/>
      <c r="E30" s="621"/>
      <c r="F30" s="663"/>
      <c r="G30" s="1098"/>
      <c r="H30" s="1101"/>
      <c r="I30" s="1098"/>
      <c r="J30" s="1124"/>
      <c r="K30" s="1112">
        <f t="shared" ref="K30" si="4">C30*(1/379.3)*((D34*H30)+(G30))*44*(1/2204.62)</f>
        <v>0</v>
      </c>
      <c r="L30" s="1109">
        <f t="shared" ref="L30" si="5" xml:space="preserve"> C30*(J30)*(I30)*(1/379.3)*(16)*(1/2204.62)</f>
        <v>0</v>
      </c>
      <c r="M30" s="613"/>
      <c r="N30" s="613"/>
    </row>
    <row r="31" spans="2:14" x14ac:dyDescent="0.25">
      <c r="B31" s="1058"/>
      <c r="C31" s="1135"/>
      <c r="D31" s="614"/>
      <c r="E31" s="615"/>
      <c r="F31" s="661"/>
      <c r="G31" s="1099"/>
      <c r="H31" s="1099"/>
      <c r="I31" s="1099"/>
      <c r="J31" s="1125"/>
      <c r="K31" s="1113"/>
      <c r="L31" s="1110"/>
      <c r="M31" s="613"/>
      <c r="N31" s="613"/>
    </row>
    <row r="32" spans="2:14" x14ac:dyDescent="0.25">
      <c r="B32" s="1058"/>
      <c r="C32" s="1135"/>
      <c r="D32" s="614"/>
      <c r="E32" s="615"/>
      <c r="F32" s="661"/>
      <c r="G32" s="1099"/>
      <c r="H32" s="1099"/>
      <c r="I32" s="1099"/>
      <c r="J32" s="1125"/>
      <c r="K32" s="1113"/>
      <c r="L32" s="1110"/>
      <c r="M32" s="613"/>
      <c r="N32" s="613"/>
    </row>
    <row r="33" spans="2:14" x14ac:dyDescent="0.25">
      <c r="B33" s="1058"/>
      <c r="C33" s="1135"/>
      <c r="D33" s="616"/>
      <c r="E33" s="617"/>
      <c r="F33" s="662"/>
      <c r="G33" s="1099"/>
      <c r="H33" s="1099"/>
      <c r="I33" s="1099"/>
      <c r="J33" s="1125"/>
      <c r="K33" s="1113"/>
      <c r="L33" s="1110"/>
      <c r="M33" s="613"/>
      <c r="N33" s="613"/>
    </row>
    <row r="34" spans="2:14" ht="13.8" thickBot="1" x14ac:dyDescent="0.3">
      <c r="B34" s="1059"/>
      <c r="C34" s="1136"/>
      <c r="D34" s="1095">
        <f>(E30*F30)+(E31*F31)+(E32*F32)+(E33*F33)</f>
        <v>0</v>
      </c>
      <c r="E34" s="1096"/>
      <c r="F34" s="1097"/>
      <c r="G34" s="1100"/>
      <c r="H34" s="1100"/>
      <c r="I34" s="1100"/>
      <c r="J34" s="1130"/>
      <c r="K34" s="1114"/>
      <c r="L34" s="1111"/>
      <c r="M34" s="613"/>
      <c r="N34" s="613"/>
    </row>
    <row r="35" spans="2:14" ht="13.8" thickBot="1" x14ac:dyDescent="0.3">
      <c r="B35" s="613"/>
      <c r="C35" s="666">
        <f>SUM(C15:C34)</f>
        <v>0</v>
      </c>
      <c r="D35" s="613"/>
      <c r="E35" s="613"/>
      <c r="F35" s="613"/>
      <c r="G35" s="613"/>
      <c r="H35" s="613"/>
      <c r="I35" s="613"/>
      <c r="J35" s="613"/>
      <c r="K35" s="613"/>
      <c r="L35" s="613"/>
      <c r="M35" s="613"/>
      <c r="N35" s="613"/>
    </row>
    <row r="36" spans="2:14" ht="48.75" customHeight="1" thickBot="1" x14ac:dyDescent="0.3">
      <c r="B36" s="613"/>
      <c r="C36" s="613"/>
      <c r="D36" s="613"/>
      <c r="E36" s="613"/>
      <c r="F36" s="613"/>
      <c r="G36" s="613"/>
      <c r="H36" s="613"/>
      <c r="I36" s="613"/>
      <c r="J36" s="613"/>
      <c r="K36" s="664" t="s">
        <v>295</v>
      </c>
      <c r="L36" s="665" t="s">
        <v>296</v>
      </c>
      <c r="M36" s="613"/>
      <c r="N36" s="613"/>
    </row>
    <row r="37" spans="2:14" ht="21" customHeight="1" thickBot="1" x14ac:dyDescent="0.3">
      <c r="B37" s="613"/>
      <c r="C37" s="613"/>
      <c r="D37" s="613"/>
      <c r="E37" s="613"/>
      <c r="F37" s="613"/>
      <c r="G37" s="613"/>
      <c r="H37" s="613"/>
      <c r="I37" s="613"/>
      <c r="J37" s="613"/>
      <c r="K37" s="577">
        <f>SUM(K15:K34)</f>
        <v>0</v>
      </c>
      <c r="L37" s="578">
        <f>SUM(L15:L34)</f>
        <v>0</v>
      </c>
      <c r="M37" s="613"/>
      <c r="N37" s="613"/>
    </row>
    <row r="38" spans="2:14" x14ac:dyDescent="0.25">
      <c r="B38" s="613"/>
      <c r="C38" s="613"/>
      <c r="D38" s="613"/>
      <c r="E38" s="613"/>
      <c r="F38" s="613"/>
      <c r="G38" s="613"/>
      <c r="H38" s="613"/>
      <c r="I38" s="613"/>
      <c r="J38" s="613"/>
      <c r="K38" s="613"/>
      <c r="L38" s="613"/>
      <c r="M38" s="613"/>
      <c r="N38" s="613"/>
    </row>
    <row r="39" spans="2:14" x14ac:dyDescent="0.25">
      <c r="B39" s="613"/>
      <c r="C39" s="613"/>
      <c r="D39" s="613"/>
      <c r="E39" s="613"/>
      <c r="F39" s="613"/>
      <c r="G39" s="613"/>
      <c r="H39" s="613"/>
      <c r="I39" s="613"/>
      <c r="J39" s="613"/>
      <c r="K39" s="613"/>
      <c r="L39" s="613"/>
      <c r="M39" s="613"/>
      <c r="N39" s="613"/>
    </row>
    <row r="40" spans="2:14" x14ac:dyDescent="0.25">
      <c r="B40" s="613"/>
      <c r="C40" s="613"/>
      <c r="D40" s="613"/>
      <c r="E40" s="613"/>
      <c r="F40" s="613"/>
      <c r="G40" s="613"/>
      <c r="H40" s="613"/>
      <c r="I40" s="613"/>
      <c r="J40" s="613"/>
      <c r="K40" s="613"/>
      <c r="L40" s="613"/>
      <c r="M40" s="613"/>
      <c r="N40" s="613"/>
    </row>
    <row r="41" spans="2:14" x14ac:dyDescent="0.25">
      <c r="B41" s="613"/>
      <c r="C41" s="613"/>
      <c r="D41" s="613"/>
      <c r="E41" s="613"/>
      <c r="F41" s="613"/>
      <c r="G41" s="613"/>
      <c r="H41" s="613"/>
      <c r="I41" s="613"/>
      <c r="J41" s="613"/>
      <c r="K41" s="613"/>
      <c r="L41" s="613"/>
      <c r="M41" s="613"/>
      <c r="N41" s="613"/>
    </row>
    <row r="42" spans="2:14" x14ac:dyDescent="0.25">
      <c r="B42" s="613"/>
      <c r="C42" s="613"/>
      <c r="D42" s="613"/>
      <c r="E42" s="613"/>
      <c r="F42" s="613"/>
      <c r="G42" s="613"/>
      <c r="H42" s="613"/>
      <c r="I42" s="613"/>
      <c r="J42" s="613"/>
      <c r="K42" s="613"/>
      <c r="L42" s="613"/>
      <c r="M42" s="613"/>
      <c r="N42" s="613"/>
    </row>
    <row r="43" spans="2:14" x14ac:dyDescent="0.25">
      <c r="B43" s="613"/>
      <c r="C43" s="613"/>
      <c r="D43" s="613"/>
      <c r="E43" s="613"/>
      <c r="F43" s="613"/>
      <c r="G43" s="613"/>
      <c r="H43" s="613"/>
      <c r="I43" s="613"/>
      <c r="J43" s="613"/>
      <c r="K43" s="613"/>
      <c r="L43" s="613"/>
      <c r="M43" s="613"/>
      <c r="N43" s="613"/>
    </row>
    <row r="44" spans="2:14" x14ac:dyDescent="0.25">
      <c r="B44" s="613"/>
      <c r="C44" s="613"/>
      <c r="D44" s="613"/>
      <c r="E44" s="613"/>
      <c r="F44" s="613"/>
      <c r="G44" s="613"/>
      <c r="H44" s="613"/>
      <c r="I44" s="613"/>
      <c r="J44" s="613"/>
      <c r="K44" s="613"/>
      <c r="L44" s="613"/>
      <c r="M44" s="613"/>
      <c r="N44" s="613"/>
    </row>
  </sheetData>
  <sheetProtection algorithmName="SHA-512" hashValue="+s7o0BLpoe6QfhzCQgLeiPVtvt6Bgh1PRu7AON/bY9fmkFpC6D/0rlmx6qKDuH//lpC4RgqsfGeKrmakiKYcoQ==" saltValue="HCh06nSgPYNL27HZLMpsag==" spinCount="100000" sheet="1" objects="1" scenarios="1"/>
  <mergeCells count="49">
    <mergeCell ref="B30:B34"/>
    <mergeCell ref="J30:J34"/>
    <mergeCell ref="D8:F8"/>
    <mergeCell ref="C30:C34"/>
    <mergeCell ref="D14:F14"/>
    <mergeCell ref="B10:B14"/>
    <mergeCell ref="D24:F24"/>
    <mergeCell ref="C10:C14"/>
    <mergeCell ref="C15:C19"/>
    <mergeCell ref="C20:C24"/>
    <mergeCell ref="B20:B24"/>
    <mergeCell ref="B25:B29"/>
    <mergeCell ref="J10:J14"/>
    <mergeCell ref="J25:J29"/>
    <mergeCell ref="C25:C29"/>
    <mergeCell ref="D19:F19"/>
    <mergeCell ref="B15:B19"/>
    <mergeCell ref="J20:J24"/>
    <mergeCell ref="K20:K24"/>
    <mergeCell ref="L20:L24"/>
    <mergeCell ref="J15:J19"/>
    <mergeCell ref="K15:K19"/>
    <mergeCell ref="G15:G19"/>
    <mergeCell ref="H15:H19"/>
    <mergeCell ref="I15:I19"/>
    <mergeCell ref="G20:G24"/>
    <mergeCell ref="L30:L34"/>
    <mergeCell ref="K30:K34"/>
    <mergeCell ref="L10:L14"/>
    <mergeCell ref="L15:L19"/>
    <mergeCell ref="K10:K14"/>
    <mergeCell ref="K25:K29"/>
    <mergeCell ref="L25:L29"/>
    <mergeCell ref="K8:K9"/>
    <mergeCell ref="L8:L9"/>
    <mergeCell ref="I10:I14"/>
    <mergeCell ref="G10:G14"/>
    <mergeCell ref="H10:H14"/>
    <mergeCell ref="J8:J9"/>
    <mergeCell ref="D34:F34"/>
    <mergeCell ref="G30:G34"/>
    <mergeCell ref="H30:H34"/>
    <mergeCell ref="I30:I34"/>
    <mergeCell ref="H20:H24"/>
    <mergeCell ref="I20:I24"/>
    <mergeCell ref="I25:I29"/>
    <mergeCell ref="H25:H29"/>
    <mergeCell ref="G25:G29"/>
    <mergeCell ref="D29:F29"/>
  </mergeCells>
  <phoneticPr fontId="7" type="noConversion"/>
  <dataValidations count="1">
    <dataValidation type="decimal" errorStyle="information" operator="greaterThan" allowBlank="1" showInputMessage="1" showErrorMessage="1" errorTitle="Incorrect value" error="Value must be greater than zero." sqref="G15:J34 E15:F18 E20:F23 E25:F28 E30:F33 C15:C34" xr:uid="{AC2DA493-0B05-4FE1-A688-7E5794069CB0}">
      <formula1>0</formula1>
    </dataValidation>
  </dataValidations>
  <pageMargins left="0.75" right="0.75" top="1" bottom="1" header="0.5" footer="0.5"/>
  <pageSetup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8ca1b9-5519-4cb4-997c-a597c52bd683" xsi:nil="true"/>
    <_ip_UnifiedCompliancePolicyUIAction xmlns="http://schemas.microsoft.com/sharepoint/v3" xsi:nil="true"/>
    <lcf76f155ced4ddcb4097134ff3c332f xmlns="a46c2b86-f469-43b8-b637-0debd7041df9">
      <Terms xmlns="http://schemas.microsoft.com/office/infopath/2007/PartnerControls"/>
    </lcf76f155ced4ddcb4097134ff3c332f>
    <Comments xmlns="a46c2b86-f469-43b8-b637-0debd7041df9" xsi:nil="true"/>
    <Status xmlns="a46c2b86-f469-43b8-b637-0debd7041df9" xsi:nil="true"/>
    <_ip_UnifiedCompliancePolicyProperties xmlns="http://schemas.microsoft.com/sharepoint/v3" xsi:nil="true"/>
    <CandidateRanking xmlns="a46c2b86-f469-43b8-b637-0debd7041df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17B4CAD6B604840AC13A7CFA4929F39" ma:contentTypeVersion="23" ma:contentTypeDescription="Create a new document." ma:contentTypeScope="" ma:versionID="a282a1bd0f88d750180afe007a5431a0">
  <xsd:schema xmlns:xsd="http://www.w3.org/2001/XMLSchema" xmlns:xs="http://www.w3.org/2001/XMLSchema" xmlns:p="http://schemas.microsoft.com/office/2006/metadata/properties" xmlns:ns1="http://schemas.microsoft.com/sharepoint/v3" xmlns:ns2="a46c2b86-f469-43b8-b637-0debd7041df9" xmlns:ns3="b48ca1b9-5519-4cb4-997c-a597c52bd683" targetNamespace="http://schemas.microsoft.com/office/2006/metadata/properties" ma:root="true" ma:fieldsID="c52d08aab83d34a77790adaa7bfb39af" ns1:_="" ns2:_="" ns3:_="">
    <xsd:import namespace="http://schemas.microsoft.com/sharepoint/v3"/>
    <xsd:import namespace="a46c2b86-f469-43b8-b637-0debd7041df9"/>
    <xsd:import namespace="b48ca1b9-5519-4cb4-997c-a597c52bd6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lcf76f155ced4ddcb4097134ff3c332f" minOccurs="0"/>
                <xsd:element ref="ns3:TaxCatchAll" minOccurs="0"/>
                <xsd:element ref="ns2:Comments" minOccurs="0"/>
                <xsd:element ref="ns2:CandidateRanking" minOccurs="0"/>
                <xsd:element ref="ns1:_ip_UnifiedCompliancePolicyProperties" minOccurs="0"/>
                <xsd:element ref="ns1:_ip_UnifiedCompliancePolicyUIAction" minOccurs="0"/>
                <xsd:element ref="ns2:MediaServiceObjectDetectorVersions" minOccurs="0"/>
                <xsd:element ref="ns2:MediaServiceLocation" minOccurs="0"/>
                <xsd:element ref="ns2:MediaServiceSearchPropertie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2b86-f469-43b8-b637-0debd7041d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db06df0-9a10-4f13-b01c-4547ef3a4f3d" ma:termSetId="09814cd3-568e-fe90-9814-8d621ff8fb84" ma:anchorId="fba54fb3-c3e1-fe81-a776-ca4b69148c4d" ma:open="true" ma:isKeyword="false">
      <xsd:complexType>
        <xsd:sequence>
          <xsd:element ref="pc:Terms" minOccurs="0" maxOccurs="1"/>
        </xsd:sequence>
      </xsd:complexType>
    </xsd:element>
    <xsd:element name="Comments" ma:index="23" nillable="true" ma:displayName="Comments" ma:format="Dropdown" ma:internalName="Comments">
      <xsd:simpleType>
        <xsd:restriction base="dms:Text">
          <xsd:maxLength value="255"/>
        </xsd:restriction>
      </xsd:simpleType>
    </xsd:element>
    <xsd:element name="CandidateRanking" ma:index="24" nillable="true" ma:displayName="Candidate Ranking" ma:decimals="0" ma:format="Dropdown" ma:internalName="CandidateRanking" ma:percentage="FALSE">
      <xsd:simpleType>
        <xsd:restriction base="dms:Number"/>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Location" ma:index="28" nillable="true" ma:displayName="Location" ma:indexed="true" ma:internalName="MediaServiceLocation"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Status" ma:index="30" nillable="true" ma:displayName="Status" ma:format="Dropdown" ma:internalName="Statu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8ca1b9-5519-4cb4-997c-a597c52bd6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1c331e7-1afd-4a1a-964c-8f9e9be1bb8b}" ma:internalName="TaxCatchAll" ma:showField="CatchAllData" ma:web="b48ca1b9-5519-4cb4-997c-a597c52bd6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379E76-9C89-46EA-B086-42E057D40BAE}">
  <ds:schemaRefs>
    <ds:schemaRef ds:uri="http://schemas.microsoft.com/office/2006/metadata/properties"/>
    <ds:schemaRef ds:uri="http://schemas.microsoft.com/office/infopath/2007/PartnerControls"/>
    <ds:schemaRef ds:uri="b48ca1b9-5519-4cb4-997c-a597c52bd683"/>
    <ds:schemaRef ds:uri="http://schemas.microsoft.com/sharepoint/v3"/>
    <ds:schemaRef ds:uri="a46c2b86-f469-43b8-b637-0debd7041df9"/>
  </ds:schemaRefs>
</ds:datastoreItem>
</file>

<file path=customXml/itemProps2.xml><?xml version="1.0" encoding="utf-8"?>
<ds:datastoreItem xmlns:ds="http://schemas.openxmlformats.org/officeDocument/2006/customXml" ds:itemID="{356A3F39-4C91-4291-93B6-93419A281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c2b86-f469-43b8-b637-0debd7041df9"/>
    <ds:schemaRef ds:uri="b48ca1b9-5519-4cb4-997c-a597c52bd6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D78574-8831-4A67-8938-1B6864CF9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Welcome!</vt:lpstr>
      <vt:lpstr>1. Introduction</vt:lpstr>
      <vt:lpstr>2. Stationary combustion CO2</vt:lpstr>
      <vt:lpstr>3. Appendix A</vt:lpstr>
      <vt:lpstr>4.Stationary combustion CH4 N2O</vt:lpstr>
      <vt:lpstr>5. Appendix B</vt:lpstr>
      <vt:lpstr>6. Onsite coke production</vt:lpstr>
      <vt:lpstr>7. Offsite coke production</vt:lpstr>
      <vt:lpstr>8. Flaring</vt:lpstr>
      <vt:lpstr>9. Sinter production</vt:lpstr>
      <vt:lpstr>10. DRI production</vt:lpstr>
      <vt:lpstr>11. Iron and Steel production</vt:lpstr>
      <vt:lpstr>12. Appendix C</vt:lpstr>
      <vt:lpstr>13. Onsite lime CO2</vt:lpstr>
      <vt:lpstr>14. Offsite lime CO2</vt:lpstr>
      <vt:lpstr>15. Appendix D</vt:lpstr>
      <vt:lpstr>16. Summary of emissions</vt:lpstr>
      <vt:lpstr>17. Abbreviations &amp; Conversions</vt:lpstr>
      <vt:lpstr>18. Revision History</vt:lpstr>
      <vt:lpstr>Carbonates</vt:lpstr>
    </vt:vector>
  </TitlesOfParts>
  <Manager/>
  <Company>St. Andrews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Elisa Nicole Hurwitz</dc:creator>
  <cp:keywords/>
  <dc:description/>
  <cp:lastModifiedBy>Kevin Kurkul</cp:lastModifiedBy>
  <cp:revision/>
  <dcterms:created xsi:type="dcterms:W3CDTF">2008-01-04T21:24:36Z</dcterms:created>
  <dcterms:modified xsi:type="dcterms:W3CDTF">2024-07-30T21:23:09Z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0x010100E17B4CAD6B604840AC13A7CFA4929F39</vt:lpwstr>
  </property>
</Properties>
</file>